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" sheetId="1" r:id="rId5"/>
    <sheet state="visible" name="PREZENZA" sheetId="2" r:id="rId6"/>
    <sheet state="visible" name="SUDADERAS" sheetId="3" r:id="rId7"/>
    <sheet state="visible" name="EN EXHIBICIÓN" sheetId="4" r:id="rId8"/>
  </sheets>
  <definedNames>
    <definedName hidden="1" localSheetId="0" name="_xlnm._FilterDatabase">'BE FRESH'!$A$1:$T$29</definedName>
  </definedNames>
  <calcPr/>
</workbook>
</file>

<file path=xl/sharedStrings.xml><?xml version="1.0" encoding="utf-8"?>
<sst xmlns="http://schemas.openxmlformats.org/spreadsheetml/2006/main" count="1835" uniqueCount="164">
  <si>
    <t>PLAYERA BE FRESH TIPO POLO MANGA CORTA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</si>
  <si>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</si>
  <si>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</si>
  <si>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</si>
  <si>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</si>
  <si>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</si>
  <si>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</si>
  <si>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</si>
  <si>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</si>
  <si>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</si>
  <si>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</si>
  <si>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</si>
  <si>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</si>
  <si>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</si>
  <si>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</si>
  <si>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BLANCO</t>
  </si>
  <si>
    <t>ROJO</t>
  </si>
  <si>
    <t>REY</t>
  </si>
  <si>
    <t>GRIS OXFORD</t>
  </si>
  <si>
    <t>VINO</t>
  </si>
  <si>
    <t>AMARILLO</t>
  </si>
  <si>
    <t xml:space="preserve">NARANJA </t>
  </si>
  <si>
    <t>ROSA</t>
  </si>
  <si>
    <t>FIUSHA</t>
  </si>
  <si>
    <t>MORADO</t>
  </si>
  <si>
    <t>LILA</t>
  </si>
  <si>
    <t>TURQUESA</t>
  </si>
  <si>
    <t>BUGAMBILIA</t>
  </si>
  <si>
    <t>CAQUI</t>
  </si>
  <si>
    <t>GRIS PERLA</t>
  </si>
  <si>
    <t>CIELO</t>
  </si>
  <si>
    <t>MENTA</t>
  </si>
  <si>
    <t>VERDE BOTELLA</t>
  </si>
  <si>
    <t>VERDE MANZANA</t>
  </si>
  <si>
    <t>VERDE LIMON</t>
  </si>
  <si>
    <t>VERDE BANDERA</t>
  </si>
  <si>
    <t>NARANJA NEON</t>
  </si>
  <si>
    <t>AMARILLO NEON</t>
  </si>
  <si>
    <t>PLAYERA BE FRESH  TIPO POLO MANGA LARGA</t>
  </si>
  <si>
    <t xml:space="preserve">GRIS OXFORD </t>
  </si>
  <si>
    <t xml:space="preserve">BLANCO </t>
  </si>
  <si>
    <t xml:space="preserve">REY </t>
  </si>
  <si>
    <t xml:space="preserve">CUELLO REDONDO </t>
  </si>
  <si>
    <t>UNISEX</t>
  </si>
  <si>
    <t>GRIS</t>
  </si>
  <si>
    <t>INVENTARIO QUERETARO</t>
  </si>
  <si>
    <t xml:space="preserve">CHALECOS </t>
  </si>
  <si>
    <t>CHAMARRAS</t>
  </si>
  <si>
    <t>BLUSA Y CAMISA PESCADORA</t>
  </si>
  <si>
    <t>CHAMARRA SHEL 2023</t>
  </si>
  <si>
    <t>CHALECO SHELL</t>
  </si>
  <si>
    <t>Color</t>
  </si>
  <si>
    <t>TOTAL</t>
  </si>
  <si>
    <t>S</t>
  </si>
  <si>
    <t>M</t>
  </si>
  <si>
    <t>L</t>
  </si>
  <si>
    <t>XL</t>
  </si>
  <si>
    <t>ROJA</t>
  </si>
  <si>
    <t xml:space="preserve">MARINO </t>
  </si>
  <si>
    <t>ARENA</t>
  </si>
  <si>
    <t xml:space="preserve"> </t>
  </si>
  <si>
    <t>A. CIELO</t>
  </si>
  <si>
    <t>CHAMARRA CHIC 2024</t>
  </si>
  <si>
    <t>VERDE MILITAR</t>
  </si>
  <si>
    <t>CHALECO FIT MOD 2023</t>
  </si>
  <si>
    <t>ACERO</t>
  </si>
  <si>
    <t>PISTACHE</t>
  </si>
  <si>
    <t xml:space="preserve">NEGRO </t>
  </si>
  <si>
    <t>VERDE</t>
  </si>
  <si>
    <t>CHAMARRA HYDRO 2024</t>
  </si>
  <si>
    <t>BLUSA Y CAMISA VERONA 2024</t>
  </si>
  <si>
    <t xml:space="preserve">VINO </t>
  </si>
  <si>
    <t>NARANJA/TLAXCALA</t>
  </si>
  <si>
    <t>CHALECO HYDRO 2024</t>
  </si>
  <si>
    <t>A. FRANCIA</t>
  </si>
  <si>
    <t>ROJO  2023</t>
  </si>
  <si>
    <t xml:space="preserve">TOTAL </t>
  </si>
  <si>
    <t xml:space="preserve">CHAMARRA ATRACTIVE  </t>
  </si>
  <si>
    <t>BLUSA Y CAMISA OXFORD 2024</t>
  </si>
  <si>
    <t>CHALECO CHIC 2024</t>
  </si>
  <si>
    <t>PAJA</t>
  </si>
  <si>
    <t>CHAMARRA REACTION MOD 2023</t>
  </si>
  <si>
    <t xml:space="preserve">BLUSA Y CAMISA MEETING </t>
  </si>
  <si>
    <t xml:space="preserve">CHALECO FULL </t>
  </si>
  <si>
    <t>Tallas / Modelo</t>
  </si>
  <si>
    <t>Total</t>
  </si>
  <si>
    <t>AZUL FRANCIA</t>
  </si>
  <si>
    <t>COLOR</t>
  </si>
  <si>
    <t>2XL</t>
  </si>
  <si>
    <t>3XL</t>
  </si>
  <si>
    <t>4XL</t>
  </si>
  <si>
    <t>5XL</t>
  </si>
  <si>
    <t xml:space="preserve">CHAMARRA FULL </t>
  </si>
  <si>
    <t>BLUSA Y CAMISA MEZCLILLA 7.5 oz</t>
  </si>
  <si>
    <t xml:space="preserve">NEGRA   </t>
  </si>
  <si>
    <t xml:space="preserve"> PANTALON GABARDINA</t>
  </si>
  <si>
    <t>STONE</t>
  </si>
  <si>
    <t xml:space="preserve">CABALLERO </t>
  </si>
  <si>
    <t>TALLAS</t>
  </si>
  <si>
    <t xml:space="preserve">ROMPEVIENTOS </t>
  </si>
  <si>
    <t>BLUSA Y CAMISA AMALFI MOD 2024</t>
  </si>
  <si>
    <t xml:space="preserve">AZUL </t>
  </si>
  <si>
    <t xml:space="preserve">ROJO  </t>
  </si>
  <si>
    <t>BLUSA Y CAMISA TURIN MOD. 2024</t>
  </si>
  <si>
    <t>.</t>
  </si>
  <si>
    <t>AZUL. CIELO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</si>
  <si>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</si>
  <si>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</si>
  <si>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</si>
  <si>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</si>
  <si>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</si>
  <si>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</si>
  <si>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</si>
  <si>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</si>
  <si>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</si>
  <si>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</si>
  <si>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</si>
  <si>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</si>
  <si>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</si>
  <si>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</si>
  <si>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>PANTALON MEZCLILLA</t>
  </si>
  <si>
    <t>PLAYERA SUBLIMADA DE MÉXICO</t>
  </si>
  <si>
    <t>LINEA SECURITY</t>
  </si>
  <si>
    <t>CAMISAS SECURITY  MARINO-AMARILLO NEON</t>
  </si>
  <si>
    <t>MARINO-AMARILLO NEON</t>
  </si>
  <si>
    <t>BLUSA Y CAMISA MEZCLILLA SECURITY 7.5 oz CON REFLEJANTE</t>
  </si>
  <si>
    <t>SECURITY</t>
  </si>
  <si>
    <t>CHALECO ALTA VISIBILIDAD</t>
  </si>
  <si>
    <t>MODELO</t>
  </si>
  <si>
    <t>NARANJA S4</t>
  </si>
  <si>
    <t>NEON C6</t>
  </si>
  <si>
    <t>CHALECO BRIGADISTA</t>
  </si>
  <si>
    <t>AZUL REY</t>
  </si>
  <si>
    <t>NARANJA</t>
  </si>
  <si>
    <t>CHALECO SECURITY</t>
  </si>
  <si>
    <t xml:space="preserve">  </t>
  </si>
  <si>
    <t xml:space="preserve">INVENTARIO SUDADERAS       </t>
  </si>
  <si>
    <t>SUDADERA HOODY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</si>
  <si>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</si>
  <si>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</si>
  <si>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</si>
  <si>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</si>
  <si>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</si>
  <si>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</si>
  <si>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PARA SUBLIMAR BLANCA</t>
  </si>
  <si>
    <t xml:space="preserve">DAMA </t>
  </si>
  <si>
    <t>CHAMARRA UNIVERSITARIA</t>
  </si>
  <si>
    <t>NEGRO/OXFORD</t>
  </si>
  <si>
    <t>NEGRO/BLANCO</t>
  </si>
  <si>
    <t>NEGRO/NEGRO</t>
  </si>
  <si>
    <t>REY/ GRIS</t>
  </si>
  <si>
    <t>MARINO/JASPED</t>
  </si>
  <si>
    <t>MARINO/OXFORD</t>
  </si>
  <si>
    <t>ROJO/NEGRO</t>
  </si>
  <si>
    <t>PLAYERA VERSUS SECURITY M/L CR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</si>
  <si>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</si>
  <si>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</si>
  <si>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</si>
  <si>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</si>
  <si>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</si>
  <si>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</si>
  <si>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SUDADERA SECURITY ONIX</t>
  </si>
  <si>
    <t>FIUCSIA</t>
  </si>
  <si>
    <t>CHAMARRA SUBLIMADA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</si>
</sst>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;[Red]\(#,##0\);&quot;-&quot;"/>
    <numFmt numFmtId="166" formatCode="_-* #,##0_-;\-* #,##0_-;_-* &quot;-&quot;_-;_-@"/>
  </numFmts>
  <fonts count="53">
    <font>
      <sz val="11.0"/>
      <color theme="1"/>
      <name val="Calibri"/>
      <scheme val="minor"/>
    </font>
    <font>
      <sz val="11.0"/>
      <color rgb="FF000000"/>
      <name val="Arial"/>
    </font>
    <font>
      <sz val="26.0"/>
      <color rgb="FF000000"/>
      <name val="&quot;Arial Black&quot;"/>
    </font>
    <font/>
    <font>
      <sz val="16.0"/>
      <color rgb="FF000000"/>
      <name val="Arial"/>
    </font>
    <font>
      <sz val="28.0"/>
      <color rgb="FF000000"/>
      <name val="Arial"/>
    </font>
    <font>
      <b/>
      <sz val="11.0"/>
      <color rgb="FF000000"/>
      <name val="Arial"/>
    </font>
    <font>
      <b/>
      <sz val="16.0"/>
      <color theme="1"/>
      <name val="Arial Black"/>
    </font>
    <font>
      <b/>
      <sz val="14.0"/>
      <color theme="1"/>
      <name val="Arial Black"/>
    </font>
    <font>
      <b/>
      <sz val="14.0"/>
      <color rgb="FF2B2B00"/>
      <name val="Arial Black"/>
    </font>
    <font>
      <b/>
      <sz val="17.0"/>
      <color theme="1"/>
      <name val="Arial Black"/>
    </font>
    <font>
      <sz val="11.0"/>
      <color theme="1"/>
      <name val="Calibri"/>
    </font>
    <font>
      <sz val="26.0"/>
      <color theme="1"/>
      <name val="Arial Black"/>
    </font>
    <font>
      <sz val="11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sz val="20.0"/>
      <color theme="1"/>
      <name val="Arial"/>
    </font>
    <font>
      <sz val="20.0"/>
      <color rgb="FF9C0006"/>
      <name val="Arial"/>
    </font>
    <font>
      <sz val="24.0"/>
      <color theme="1"/>
      <name val="Arial"/>
    </font>
    <font>
      <sz val="22.0"/>
      <color theme="1"/>
      <name val="Arial Black"/>
    </font>
    <font>
      <sz val="36.0"/>
      <color theme="1"/>
      <name val="Arial Black"/>
    </font>
    <font>
      <b/>
      <sz val="36.0"/>
      <color theme="1"/>
      <name val="Arial Black"/>
    </font>
    <font>
      <b/>
      <sz val="16.0"/>
      <color theme="1"/>
      <name val="Biome"/>
    </font>
    <font>
      <sz val="9.0"/>
      <color theme="1"/>
      <name val="Arial"/>
    </font>
    <font>
      <b/>
      <sz val="12.0"/>
      <color theme="1"/>
      <name val="Biome"/>
    </font>
    <font>
      <sz val="12.0"/>
      <color theme="1"/>
      <name val="Biome"/>
    </font>
    <font>
      <b/>
      <sz val="9.0"/>
      <color theme="1"/>
      <name val="Arial"/>
    </font>
    <font>
      <b/>
      <sz val="10.0"/>
      <color theme="1"/>
      <name val="Calibri"/>
    </font>
    <font>
      <sz val="10.0"/>
      <color theme="1"/>
      <name val="Biome"/>
    </font>
    <font>
      <sz val="16.0"/>
      <color theme="1"/>
      <name val="Biome"/>
    </font>
    <font>
      <sz val="12.0"/>
      <color theme="1"/>
      <name val="Calibri"/>
    </font>
    <font>
      <color theme="1"/>
      <name val="Calibri"/>
      <scheme val="minor"/>
    </font>
    <font>
      <sz val="9.0"/>
      <color rgb="FF000000"/>
      <name val="Arial"/>
    </font>
    <font>
      <sz val="12.0"/>
      <color theme="1"/>
      <name val="Arial"/>
    </font>
    <font>
      <sz val="12.0"/>
      <color rgb="FFFF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b/>
      <sz val="36.0"/>
      <color theme="1"/>
      <name val="Biome"/>
    </font>
    <font>
      <sz val="9.0"/>
      <color theme="1"/>
      <name val="Calibri"/>
    </font>
    <font>
      <sz val="8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0.0"/>
      <color theme="1"/>
      <name val="Biome"/>
    </font>
    <font>
      <b/>
      <sz val="8.0"/>
      <color theme="1"/>
      <name val="Arial"/>
    </font>
    <font>
      <sz val="8.0"/>
      <color theme="1"/>
      <name val="Calibri"/>
    </font>
    <font>
      <sz val="28.0"/>
      <color theme="1"/>
      <name val="Calibri"/>
    </font>
    <font>
      <sz val="14.0"/>
      <color theme="1"/>
      <name val="Arial"/>
    </font>
    <font>
      <b/>
      <sz val="14.0"/>
      <color theme="1"/>
      <name val="Calibri"/>
    </font>
    <font>
      <sz val="10.0"/>
      <color theme="1"/>
      <name val="Arial Black"/>
    </font>
    <font>
      <sz val="10.0"/>
      <color theme="1"/>
      <name val="Calibri"/>
    </font>
    <font>
      <sz val="12.0"/>
      <color theme="1"/>
      <name val="Arial Black"/>
    </font>
    <font>
      <sz val="9.0"/>
      <color rgb="FF98A8BD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BD3DE"/>
        <bgColor rgb="FFCBD3DE"/>
      </patternFill>
    </fill>
    <fill>
      <patternFill patternType="solid">
        <fgColor rgb="FFFF3399"/>
        <bgColor rgb="FFFF3399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3300"/>
        <bgColor rgb="FFFF33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thin">
        <color rgb="FF000000"/>
      </lef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theme="5"/>
      </left>
      <top/>
      <bottom style="thin">
        <color theme="5"/>
      </bottom>
    </border>
    <border>
      <top/>
      <bottom style="thin">
        <color theme="5"/>
      </bottom>
    </border>
    <border>
      <right/>
      <top/>
      <bottom style="thin">
        <color theme="5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/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vertical="top"/>
    </xf>
    <xf borderId="4" fillId="3" fontId="5" numFmtId="0" xfId="0" applyAlignment="1" applyBorder="1" applyFill="1" applyFont="1">
      <alignment horizontal="center" readingOrder="0" shrinkToFit="0" wrapText="0"/>
    </xf>
    <xf borderId="5" fillId="0" fontId="3" numFmtId="0" xfId="0" applyBorder="1" applyFont="1"/>
    <xf borderId="6" fillId="0" fontId="3" numFmtId="0" xfId="0" applyBorder="1" applyFont="1"/>
    <xf borderId="5" fillId="4" fontId="5" numFmtId="0" xfId="0" applyAlignment="1" applyBorder="1" applyFill="1" applyFont="1">
      <alignment horizontal="center" readingOrder="0"/>
    </xf>
    <xf borderId="4" fillId="2" fontId="1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3" fontId="6" numFmtId="0" xfId="0" applyAlignment="1" applyBorder="1" applyFont="1">
      <alignment horizontal="center" readingOrder="0" shrinkToFit="0" wrapText="0"/>
    </xf>
    <xf borderId="8" fillId="4" fontId="6" numFmtId="0" xfId="0" applyAlignment="1" applyBorder="1" applyFont="1">
      <alignment horizontal="center" readingOrder="0" shrinkToFit="0" wrapText="0"/>
    </xf>
    <xf borderId="9" fillId="5" fontId="6" numFmtId="0" xfId="0" applyAlignment="1" applyBorder="1" applyFill="1" applyFont="1">
      <alignment horizontal="center" readingOrder="0" shrinkToFit="0" wrapText="0"/>
    </xf>
    <xf borderId="9" fillId="6" fontId="7" numFmtId="0" xfId="0" applyAlignment="1" applyBorder="1" applyFill="1" applyFont="1">
      <alignment horizontal="center" readingOrder="0" shrinkToFit="0" wrapText="0"/>
    </xf>
    <xf borderId="6" fillId="6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center" readingOrder="0" shrinkToFit="0" vertical="center" wrapText="0"/>
    </xf>
    <xf borderId="9" fillId="7" fontId="8" numFmtId="0" xfId="0" applyAlignment="1" applyBorder="1" applyFont="1">
      <alignment horizontal="center" shrinkToFit="0" vertical="center" wrapText="0"/>
    </xf>
    <xf borderId="9" fillId="7" fontId="8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vertical="top"/>
    </xf>
    <xf borderId="8" fillId="6" fontId="7" numFmtId="0" xfId="0" applyAlignment="1" applyBorder="1" applyFont="1">
      <alignment horizontal="center" readingOrder="0" shrinkToFit="0" wrapText="0"/>
    </xf>
    <xf borderId="8" fillId="7" fontId="8" numFmtId="0" xfId="0" applyAlignment="1" applyBorder="1" applyFont="1">
      <alignment horizontal="center" readingOrder="0" shrinkToFit="0" vertical="center" wrapText="0"/>
    </xf>
    <xf borderId="8" fillId="7" fontId="9" numFmtId="0" xfId="0" applyAlignment="1" applyBorder="1" applyFont="1">
      <alignment horizontal="center" readingOrder="0" shrinkToFit="0" vertical="center" wrapText="0"/>
    </xf>
    <xf borderId="9" fillId="7" fontId="9" numFmtId="0" xfId="0" applyAlignment="1" applyBorder="1" applyFont="1">
      <alignment horizontal="center" readingOrder="0" shrinkToFit="0" vertical="center" wrapText="0"/>
    </xf>
    <xf borderId="8" fillId="6" fontId="10" numFmtId="0" xfId="0" applyAlignment="1" applyBorder="1" applyFont="1">
      <alignment horizontal="center" readingOrder="0" shrinkToFit="0" wrapText="0"/>
    </xf>
    <xf borderId="9" fillId="6" fontId="10" numFmtId="0" xfId="0" applyAlignment="1" applyBorder="1" applyFont="1">
      <alignment horizontal="center" readingOrder="0" shrinkToFit="0" wrapText="0"/>
    </xf>
    <xf borderId="10" fillId="5" fontId="6" numFmtId="0" xfId="0" applyAlignment="1" applyBorder="1" applyFont="1">
      <alignment horizontal="center" readingOrder="0" shrinkToFit="0" wrapText="0"/>
    </xf>
    <xf borderId="11" fillId="5" fontId="6" numFmtId="0" xfId="0" applyAlignment="1" applyBorder="1" applyFont="1">
      <alignment horizontal="center" readingOrder="0" shrinkToFit="0" wrapText="0"/>
    </xf>
    <xf borderId="2" fillId="2" fontId="1" numFmtId="0" xfId="0" applyAlignment="1" applyBorder="1" applyFont="1">
      <alignment horizontal="center" shrinkToFit="0" wrapText="0"/>
    </xf>
    <xf borderId="6" fillId="6" fontId="4" numFmtId="0" xfId="0" applyAlignment="1" applyBorder="1" applyFont="1">
      <alignment horizontal="center" readingOrder="0" vertical="top"/>
    </xf>
    <xf borderId="12" fillId="2" fontId="11" numFmtId="0" xfId="0" applyBorder="1" applyFont="1"/>
    <xf borderId="13" fillId="2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2" fillId="2" fontId="11" numFmtId="164" xfId="0" applyAlignment="1" applyBorder="1" applyFont="1" applyNumberFormat="1">
      <alignment vertical="top"/>
    </xf>
    <xf borderId="16" fillId="3" fontId="13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6" fillId="4" fontId="13" numFmtId="0" xfId="0" applyAlignment="1" applyBorder="1" applyFont="1">
      <alignment horizontal="center" shrinkToFit="0" wrapText="1"/>
    </xf>
    <xf borderId="19" fillId="2" fontId="13" numFmtId="0" xfId="0" applyAlignment="1" applyBorder="1" applyFont="1">
      <alignment horizontal="center"/>
    </xf>
    <xf borderId="20" fillId="3" fontId="14" numFmtId="0" xfId="0" applyAlignment="1" applyBorder="1" applyFont="1">
      <alignment horizontal="center"/>
    </xf>
    <xf borderId="21" fillId="3" fontId="14" numFmtId="0" xfId="0" applyAlignment="1" applyBorder="1" applyFont="1">
      <alignment horizontal="center"/>
    </xf>
    <xf borderId="22" fillId="3" fontId="14" numFmtId="0" xfId="0" applyAlignment="1" applyBorder="1" applyFont="1">
      <alignment horizontal="center"/>
    </xf>
    <xf borderId="20" fillId="4" fontId="14" numFmtId="0" xfId="0" applyAlignment="1" applyBorder="1" applyFont="1">
      <alignment horizontal="center"/>
    </xf>
    <xf borderId="21" fillId="4" fontId="14" numFmtId="0" xfId="0" applyAlignment="1" applyBorder="1" applyFont="1">
      <alignment horizontal="center"/>
    </xf>
    <xf borderId="23" fillId="4" fontId="14" numFmtId="0" xfId="0" applyAlignment="1" applyBorder="1" applyFont="1">
      <alignment horizontal="center"/>
    </xf>
    <xf borderId="9" fillId="2" fontId="14" numFmtId="0" xfId="0" applyAlignment="1" applyBorder="1" applyFont="1">
      <alignment horizontal="center"/>
    </xf>
    <xf borderId="24" fillId="6" fontId="15" numFmtId="0" xfId="0" applyAlignment="1" applyBorder="1" applyFont="1">
      <alignment horizontal="center" vertical="center"/>
    </xf>
    <xf borderId="24" fillId="7" fontId="15" numFmtId="0" xfId="0" applyAlignment="1" applyBorder="1" applyFont="1">
      <alignment horizontal="center" vertical="center"/>
    </xf>
    <xf borderId="9" fillId="2" fontId="16" numFmtId="164" xfId="0" applyAlignment="1" applyBorder="1" applyFont="1" applyNumberForma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25" fillId="6" fontId="17" numFmtId="164" xfId="0" applyAlignment="1" applyBorder="1" applyFont="1" applyNumberFormat="1">
      <alignment horizontal="center" shrinkToFit="0" vertical="top" wrapText="1"/>
    </xf>
    <xf borderId="4" fillId="8" fontId="12" numFmtId="0" xfId="0" applyAlignment="1" applyBorder="1" applyFill="1" applyFont="1">
      <alignment horizontal="center" shrinkToFit="0" wrapText="1"/>
    </xf>
    <xf borderId="0" fillId="2" fontId="12" numFmtId="0" xfId="0" applyAlignment="1" applyFont="1">
      <alignment horizontal="center" shrinkToFit="0" wrapText="1"/>
    </xf>
    <xf borderId="26" fillId="9" fontId="13" numFmtId="0" xfId="0" applyAlignment="1" applyBorder="1" applyFill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2" fontId="11" numFmtId="164" xfId="0" applyBorder="1" applyFont="1" applyNumberFormat="1"/>
    <xf borderId="29" fillId="2" fontId="11" numFmtId="0" xfId="0" applyBorder="1" applyFont="1"/>
    <xf borderId="21" fillId="9" fontId="14" numFmtId="0" xfId="0" applyAlignment="1" applyBorder="1" applyFont="1">
      <alignment horizontal="center"/>
    </xf>
    <xf borderId="23" fillId="9" fontId="14" numFmtId="0" xfId="0" applyAlignment="1" applyBorder="1" applyFont="1">
      <alignment horizontal="center"/>
    </xf>
    <xf borderId="12" fillId="2" fontId="11" numFmtId="164" xfId="0" applyBorder="1" applyFont="1" applyNumberFormat="1"/>
    <xf borderId="24" fillId="10" fontId="18" numFmtId="0" xfId="0" applyAlignment="1" applyBorder="1" applyFill="1" applyFont="1">
      <alignment horizontal="center"/>
    </xf>
    <xf borderId="9" fillId="2" fontId="17" numFmtId="164" xfId="0" applyAlignment="1" applyBorder="1" applyFont="1" applyNumberFormat="1">
      <alignment horizontal="right" shrinkToFit="0" wrapText="1"/>
    </xf>
    <xf borderId="11" fillId="2" fontId="17" numFmtId="164" xfId="0" applyAlignment="1" applyBorder="1" applyFont="1" applyNumberFormat="1">
      <alignment horizontal="right" shrinkToFit="0" wrapText="1"/>
    </xf>
    <xf borderId="30" fillId="2" fontId="11" numFmtId="0" xfId="0" applyBorder="1" applyFont="1"/>
    <xf borderId="31" fillId="2" fontId="11" numFmtId="0" xfId="0" applyBorder="1" applyFont="1"/>
    <xf borderId="4" fillId="6" fontId="19" numFmtId="164" xfId="0" applyAlignment="1" applyBorder="1" applyFont="1" applyNumberFormat="1">
      <alignment horizontal="center" shrinkToFit="0" wrapText="1"/>
    </xf>
    <xf borderId="0" fillId="2" fontId="19" numFmtId="164" xfId="0" applyAlignment="1" applyFont="1" applyNumberFormat="1">
      <alignment horizontal="center" shrinkToFit="0" wrapText="1"/>
    </xf>
    <xf borderId="32" fillId="2" fontId="11" numFmtId="0" xfId="0" applyBorder="1" applyFont="1"/>
    <xf borderId="33" fillId="5" fontId="20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3" fillId="5" fontId="12" numFmtId="0" xfId="0" applyAlignment="1" applyBorder="1" applyFont="1">
      <alignment horizontal="center" vertical="center"/>
    </xf>
    <xf borderId="12" fillId="5" fontId="21" numFmtId="165" xfId="0" applyAlignment="1" applyBorder="1" applyFont="1" applyNumberFormat="1">
      <alignment vertical="center"/>
    </xf>
    <xf borderId="36" fillId="5" fontId="22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" fillId="11" fontId="23" numFmtId="0" xfId="0" applyAlignment="1" applyBorder="1" applyFill="1" applyFont="1">
      <alignment horizontal="center" vertical="center"/>
    </xf>
    <xf borderId="43" fillId="5" fontId="24" numFmtId="0" xfId="0" applyAlignment="1" applyBorder="1" applyFont="1">
      <alignment horizontal="center" vertical="center"/>
    </xf>
    <xf borderId="4" fillId="3" fontId="25" numFmtId="165" xfId="0" applyAlignment="1" applyBorder="1" applyFont="1" applyNumberFormat="1">
      <alignment horizontal="center" vertical="center"/>
    </xf>
    <xf borderId="4" fillId="11" fontId="25" numFmtId="165" xfId="0" applyAlignment="1" applyBorder="1" applyFont="1" applyNumberFormat="1">
      <alignment horizontal="center" vertical="center"/>
    </xf>
    <xf borderId="44" fillId="7" fontId="23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11" fillId="5" fontId="24" numFmtId="0" xfId="0" applyAlignment="1" applyBorder="1" applyFont="1">
      <alignment horizontal="center" vertical="center"/>
    </xf>
    <xf borderId="4" fillId="5" fontId="25" numFmtId="165" xfId="0" applyAlignment="1" applyBorder="1" applyFont="1" applyNumberFormat="1">
      <alignment horizontal="center" vertical="center"/>
    </xf>
    <xf borderId="9" fillId="3" fontId="26" numFmtId="165" xfId="0" applyAlignment="1" applyBorder="1" applyFont="1" applyNumberFormat="1">
      <alignment horizontal="center" vertical="center"/>
    </xf>
    <xf borderId="47" fillId="3" fontId="26" numFmtId="165" xfId="0" applyAlignment="1" applyBorder="1" applyFont="1" applyNumberFormat="1">
      <alignment horizontal="center" vertical="center"/>
    </xf>
    <xf borderId="43" fillId="11" fontId="26" numFmtId="165" xfId="0" applyAlignment="1" applyBorder="1" applyFont="1" applyNumberFormat="1">
      <alignment horizontal="center" vertical="center"/>
    </xf>
    <xf borderId="9" fillId="11" fontId="26" numFmtId="165" xfId="0" applyAlignment="1" applyBorder="1" applyFont="1" applyNumberFormat="1">
      <alignment horizontal="center" vertical="center"/>
    </xf>
    <xf borderId="11" fillId="11" fontId="26" numFmtId="165" xfId="0" applyAlignment="1" applyBorder="1" applyFont="1" applyNumberFormat="1">
      <alignment horizontal="center" vertical="center"/>
    </xf>
    <xf borderId="11" fillId="5" fontId="27" numFmtId="0" xfId="0" applyAlignment="1" applyBorder="1" applyFont="1">
      <alignment horizontal="center" vertical="center"/>
    </xf>
    <xf borderId="4" fillId="5" fontId="26" numFmtId="165" xfId="0" applyAlignment="1" applyBorder="1" applyFont="1" applyNumberFormat="1">
      <alignment horizontal="center" vertical="center"/>
    </xf>
    <xf borderId="7" fillId="0" fontId="3" numFmtId="0" xfId="0" applyBorder="1" applyFont="1"/>
    <xf borderId="9" fillId="11" fontId="25" numFmtId="165" xfId="0" applyAlignment="1" applyBorder="1" applyFont="1" applyNumberFormat="1">
      <alignment horizontal="center" vertical="center"/>
    </xf>
    <xf borderId="9" fillId="3" fontId="25" numFmtId="165" xfId="0" applyAlignment="1" applyBorder="1" applyFont="1" applyNumberFormat="1">
      <alignment horizontal="center" vertical="center"/>
    </xf>
    <xf borderId="47" fillId="3" fontId="25" numFmtId="165" xfId="0" applyAlignment="1" applyBorder="1" applyFont="1" applyNumberFormat="1">
      <alignment horizontal="center" vertical="center"/>
    </xf>
    <xf borderId="43" fillId="11" fontId="25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vertical="center"/>
    </xf>
    <xf borderId="9" fillId="6" fontId="28" numFmtId="165" xfId="0" applyAlignment="1" applyBorder="1" applyFont="1" applyNumberFormat="1">
      <alignment horizontal="center" vertical="center"/>
    </xf>
    <xf borderId="47" fillId="6" fontId="28" numFmtId="165" xfId="0" applyAlignment="1" applyBorder="1" applyFont="1" applyNumberFormat="1">
      <alignment horizontal="center" vertical="center"/>
    </xf>
    <xf borderId="43" fillId="6" fontId="28" numFmtId="165" xfId="0" applyAlignment="1" applyBorder="1" applyFont="1" applyNumberFormat="1">
      <alignment horizontal="center" vertical="center"/>
    </xf>
    <xf borderId="9" fillId="6" fontId="29" numFmtId="0" xfId="0" applyAlignment="1" applyBorder="1" applyFont="1">
      <alignment horizontal="center" vertical="center"/>
    </xf>
    <xf borderId="9" fillId="0" fontId="26" numFmtId="165" xfId="0" applyAlignment="1" applyBorder="1" applyFont="1" applyNumberFormat="1">
      <alignment horizontal="center" vertical="center"/>
    </xf>
    <xf borderId="43" fillId="3" fontId="26" numFmtId="165" xfId="0" applyAlignment="1" applyBorder="1" applyFont="1" applyNumberFormat="1">
      <alignment horizontal="center" vertical="center"/>
    </xf>
    <xf borderId="9" fillId="5" fontId="25" numFmtId="165" xfId="0" applyAlignment="1" applyBorder="1" applyFont="1" applyNumberFormat="1">
      <alignment horizontal="center" vertical="center"/>
    </xf>
    <xf borderId="47" fillId="5" fontId="25" numFmtId="165" xfId="0" applyAlignment="1" applyBorder="1" applyFont="1" applyNumberFormat="1">
      <alignment horizontal="center" vertical="center"/>
    </xf>
    <xf borderId="43" fillId="5" fontId="25" numFmtId="165" xfId="0" applyAlignment="1" applyBorder="1" applyFont="1" applyNumberFormat="1">
      <alignment horizontal="center" vertical="center"/>
    </xf>
    <xf borderId="9" fillId="5" fontId="26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shrinkToFit="0" vertical="center" wrapText="1"/>
    </xf>
    <xf borderId="19" fillId="5" fontId="24" numFmtId="0" xfId="0" applyAlignment="1" applyBorder="1" applyFont="1">
      <alignment horizontal="center" vertical="center"/>
    </xf>
    <xf borderId="9" fillId="5" fontId="27" numFmtId="0" xfId="0" applyAlignment="1" applyBorder="1" applyFont="1">
      <alignment horizontal="center" shrinkToFit="0" vertical="center" wrapText="1"/>
    </xf>
    <xf borderId="9" fillId="6" fontId="28" numFmtId="165" xfId="0" applyAlignment="1" applyBorder="1" applyFont="1" applyNumberFormat="1">
      <alignment horizontal="center"/>
    </xf>
    <xf borderId="12" fillId="5" fontId="24" numFmtId="0" xfId="0" applyAlignment="1" applyBorder="1" applyFont="1">
      <alignment horizontal="center" vertical="center"/>
    </xf>
    <xf borderId="12" fillId="5" fontId="26" numFmtId="165" xfId="0" applyAlignment="1" applyBorder="1" applyFont="1" applyNumberFormat="1">
      <alignment horizontal="center" vertical="center"/>
    </xf>
    <xf borderId="9" fillId="6" fontId="26" numFmtId="165" xfId="0" applyAlignment="1" applyBorder="1" applyFont="1" applyNumberFormat="1">
      <alignment horizontal="center" vertical="center"/>
    </xf>
    <xf borderId="11" fillId="6" fontId="26" numFmtId="165" xfId="0" applyAlignment="1" applyBorder="1" applyFont="1" applyNumberForma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48" fillId="5" fontId="30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7" fontId="30" numFmtId="0" xfId="0" applyAlignment="1" applyBorder="1" applyFon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0" fillId="0" fontId="23" numFmtId="0" xfId="0" applyAlignment="1" applyFont="1">
      <alignment horizontal="left" vertical="center"/>
    </xf>
    <xf borderId="0" fillId="0" fontId="31" numFmtId="165" xfId="0" applyFont="1" applyNumberFormat="1"/>
    <xf borderId="0" fillId="0" fontId="32" numFmtId="0" xfId="0" applyAlignment="1" applyFont="1">
      <alignment readingOrder="0"/>
    </xf>
    <xf borderId="9" fillId="5" fontId="33" numFmtId="0" xfId="0" applyAlignment="1" applyBorder="1" applyFont="1">
      <alignment horizontal="center" vertical="center"/>
    </xf>
    <xf borderId="9" fillId="5" fontId="34" numFmtId="0" xfId="0" applyAlignment="1" applyBorder="1" applyFont="1">
      <alignment horizontal="center" vertical="center"/>
    </xf>
    <xf borderId="0" fillId="0" fontId="31" numFmtId="0" xfId="0" applyFont="1"/>
    <xf borderId="12" fillId="5" fontId="35" numFmtId="165" xfId="0" applyAlignment="1" applyBorder="1" applyFont="1" applyNumberFormat="1">
      <alignment horizontal="center" vertical="center"/>
    </xf>
    <xf borderId="47" fillId="6" fontId="26" numFmtId="165" xfId="0" applyAlignment="1" applyBorder="1" applyFont="1" applyNumberFormat="1">
      <alignment horizontal="center" vertical="center"/>
    </xf>
    <xf borderId="43" fillId="6" fontId="26" numFmtId="165" xfId="0" applyAlignment="1" applyBorder="1" applyFont="1" applyNumberFormat="1">
      <alignment horizontal="center" vertical="center"/>
    </xf>
    <xf borderId="30" fillId="5" fontId="24" numFmtId="0" xfId="0" applyAlignment="1" applyBorder="1" applyFont="1">
      <alignment horizontal="center" vertical="center"/>
    </xf>
    <xf borderId="30" fillId="5" fontId="26" numFmtId="165" xfId="0" applyAlignment="1" applyBorder="1" applyFont="1" applyNumberFormat="1">
      <alignment horizontal="center" vertical="center"/>
    </xf>
    <xf borderId="30" fillId="5" fontId="35" numFmtId="165" xfId="0" applyAlignment="1" applyBorder="1" applyFont="1" applyNumberFormat="1">
      <alignment horizontal="center" vertical="center"/>
    </xf>
    <xf borderId="4" fillId="12" fontId="23" numFmtId="0" xfId="0" applyAlignment="1" applyBorder="1" applyFill="1" applyFont="1">
      <alignment horizontal="center" vertical="center"/>
    </xf>
    <xf borderId="12" fillId="5" fontId="34" numFmtId="0" xfId="0" applyAlignment="1" applyBorder="1" applyFont="1">
      <alignment horizontal="center" vertical="center"/>
    </xf>
    <xf borderId="4" fillId="11" fontId="25" numFmtId="0" xfId="0" applyAlignment="1" applyBorder="1" applyFont="1">
      <alignment horizontal="center" vertical="center"/>
    </xf>
    <xf borderId="11" fillId="5" fontId="34" numFmtId="0" xfId="0" applyAlignment="1" applyBorder="1" applyFont="1">
      <alignment horizontal="center" vertical="center"/>
    </xf>
    <xf borderId="4" fillId="5" fontId="25" numFmtId="0" xfId="0" applyAlignment="1" applyBorder="1" applyFont="1">
      <alignment horizontal="center" vertical="center"/>
    </xf>
    <xf borderId="4" fillId="3" fontId="25" numFmtId="0" xfId="0" applyAlignment="1" applyBorder="1" applyFont="1">
      <alignment horizontal="center" vertical="center"/>
    </xf>
    <xf borderId="9" fillId="11" fontId="25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center" vertical="center"/>
    </xf>
    <xf borderId="19" fillId="3" fontId="26" numFmtId="0" xfId="0" applyAlignment="1" applyBorder="1" applyFont="1">
      <alignment horizontal="center" vertical="center"/>
    </xf>
    <xf borderId="54" fillId="11" fontId="26" numFmtId="0" xfId="0" applyAlignment="1" applyBorder="1" applyFont="1">
      <alignment horizontal="center" vertical="center"/>
    </xf>
    <xf borderId="9" fillId="11" fontId="26" numFmtId="0" xfId="0" applyAlignment="1" applyBorder="1" applyFont="1">
      <alignment horizontal="center" vertical="center"/>
    </xf>
    <xf borderId="11" fillId="11" fontId="26" numFmtId="0" xfId="0" applyAlignment="1" applyBorder="1" applyFont="1">
      <alignment horizontal="center" vertical="center"/>
    </xf>
    <xf borderId="0" fillId="5" fontId="31" numFmtId="0" xfId="0" applyFont="1"/>
    <xf borderId="9" fillId="3" fontId="25" numFmtId="0" xfId="0" applyAlignment="1" applyBorder="1" applyFont="1">
      <alignment horizontal="center" vertical="center"/>
    </xf>
    <xf borderId="47" fillId="3" fontId="25" numFmtId="0" xfId="0" applyAlignment="1" applyBorder="1" applyFont="1">
      <alignment horizontal="center" vertical="center"/>
    </xf>
    <xf borderId="43" fillId="11" fontId="25" numFmtId="0" xfId="0" applyAlignment="1" applyBorder="1" applyFont="1">
      <alignment horizontal="center" vertical="center"/>
    </xf>
    <xf borderId="31" fillId="5" fontId="30" numFmtId="0" xfId="0" applyAlignment="1" applyBorder="1" applyFont="1">
      <alignment horizontal="center" vertical="center"/>
    </xf>
    <xf borderId="55" fillId="0" fontId="3" numFmtId="0" xfId="0" applyBorder="1" applyFont="1"/>
    <xf borderId="32" fillId="0" fontId="3" numFmtId="0" xfId="0" applyBorder="1" applyFont="1"/>
    <xf borderId="56" fillId="12" fontId="23" numFmtId="0" xfId="0" applyAlignment="1" applyBorder="1" applyFont="1">
      <alignment horizontal="center" vertical="center"/>
    </xf>
    <xf borderId="8" fillId="0" fontId="3" numFmtId="0" xfId="0" applyBorder="1" applyFont="1"/>
    <xf borderId="12" fillId="5" fontId="34" numFmtId="165" xfId="0" applyAlignment="1" applyBorder="1" applyFont="1" applyNumberFormat="1">
      <alignment horizontal="center" vertical="center"/>
    </xf>
    <xf borderId="57" fillId="5" fontId="24" numFmtId="0" xfId="0" applyAlignment="1" applyBorder="1" applyFont="1">
      <alignment horizontal="center" vertical="center"/>
    </xf>
    <xf borderId="4" fillId="7" fontId="23" numFmtId="0" xfId="0" applyAlignment="1" applyBorder="1" applyFont="1">
      <alignment horizontal="center" vertical="center"/>
    </xf>
    <xf borderId="32" fillId="5" fontId="26" numFmtId="165" xfId="0" applyAlignment="1" applyBorder="1" applyFont="1" applyNumberFormat="1">
      <alignment horizontal="center" vertical="center"/>
    </xf>
    <xf borderId="4" fillId="11" fontId="30" numFmtId="0" xfId="0" applyAlignment="1" applyBorder="1" applyFont="1">
      <alignment horizontal="center" vertical="center"/>
    </xf>
    <xf borderId="0" fillId="0" fontId="24" numFmtId="0" xfId="0" applyFont="1"/>
    <xf borderId="1" fillId="11" fontId="30" numFmtId="0" xfId="0" applyAlignment="1" applyBorder="1" applyFont="1">
      <alignment horizontal="center" vertical="center"/>
    </xf>
    <xf borderId="10" fillId="0" fontId="3" numFmtId="0" xfId="0" applyBorder="1" applyFont="1"/>
    <xf borderId="56" fillId="0" fontId="3" numFmtId="0" xfId="0" applyBorder="1" applyFont="1"/>
    <xf borderId="58" fillId="0" fontId="3" numFmtId="0" xfId="0" applyBorder="1" applyFont="1"/>
    <xf borderId="35" fillId="5" fontId="26" numFmtId="165" xfId="0" applyAlignment="1" applyBorder="1" applyFont="1" applyNumberFormat="1">
      <alignment horizontal="center" vertical="center"/>
    </xf>
    <xf borderId="4" fillId="5" fontId="30" numFmtId="0" xfId="0" applyAlignment="1" applyBorder="1" applyFont="1">
      <alignment horizontal="center" vertical="center"/>
    </xf>
    <xf borderId="56" fillId="5" fontId="26" numFmtId="165" xfId="0" applyAlignment="1" applyBorder="1" applyFont="1" applyNumberFormat="1">
      <alignment horizontal="center" vertical="center"/>
    </xf>
    <xf borderId="59" fillId="11" fontId="23" numFmtId="0" xfId="0" applyAlignment="1" applyBorder="1" applyFont="1">
      <alignment horizontal="center" vertical="center"/>
    </xf>
    <xf borderId="12" fillId="5" fontId="30" numFmtId="0" xfId="0" applyAlignment="1" applyBorder="1" applyFont="1">
      <alignment horizontal="center" vertical="center"/>
    </xf>
    <xf borderId="29" fillId="5" fontId="24" numFmtId="0" xfId="0" applyAlignment="1" applyBorder="1" applyFont="1">
      <alignment horizontal="center" vertical="center"/>
    </xf>
    <xf borderId="29" fillId="5" fontId="26" numFmtId="165" xfId="0" applyAlignment="1" applyBorder="1" applyFont="1" applyNumberFormat="1">
      <alignment horizontal="center" vertical="center"/>
    </xf>
    <xf borderId="31" fillId="5" fontId="26" numFmtId="165" xfId="0" applyAlignment="1" applyBorder="1" applyFont="1" applyNumberFormat="1">
      <alignment horizontal="center" vertical="center"/>
    </xf>
    <xf borderId="4" fillId="6" fontId="26" numFmtId="165" xfId="0" applyAlignment="1" applyBorder="1" applyFont="1" applyNumberForma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5" fontId="26" numFmtId="165" xfId="0" applyAlignment="1" applyBorder="1" applyFont="1" applyNumberFormat="1">
      <alignment horizontal="center" vertical="center"/>
    </xf>
    <xf borderId="7" fillId="0" fontId="26" numFmtId="165" xfId="0" applyAlignment="1" applyBorder="1" applyFont="1" applyNumberFormat="1">
      <alignment horizontal="center" vertical="center"/>
    </xf>
    <xf borderId="60" fillId="0" fontId="3" numFmtId="0" xfId="0" applyBorder="1" applyFont="1"/>
    <xf borderId="1" fillId="13" fontId="36" numFmtId="0" xfId="0" applyAlignment="1" applyBorder="1" applyFill="1" applyFont="1">
      <alignment horizontal="center" readingOrder="0" vertical="center"/>
    </xf>
    <xf borderId="61" fillId="0" fontId="3" numFmtId="0" xfId="0" applyBorder="1" applyFont="1"/>
    <xf borderId="0" fillId="0" fontId="26" numFmtId="165" xfId="0" applyAlignment="1" applyFont="1" applyNumberFormat="1">
      <alignment vertical="center"/>
    </xf>
    <xf borderId="4" fillId="5" fontId="16" numFmtId="0" xfId="0" applyAlignment="1" applyBorder="1" applyFont="1">
      <alignment horizontal="center" readingOrder="0" vertical="center"/>
    </xf>
    <xf borderId="4" fillId="14" fontId="26" numFmtId="165" xfId="0" applyAlignment="1" applyBorder="1" applyFill="1" applyFont="1" applyNumberFormat="1">
      <alignment horizontal="center" vertical="center"/>
    </xf>
    <xf borderId="4" fillId="15" fontId="26" numFmtId="165" xfId="0" applyAlignment="1" applyBorder="1" applyFill="1" applyFont="1" applyNumberFormat="1">
      <alignment horizontal="center" vertical="center"/>
    </xf>
    <xf borderId="11" fillId="5" fontId="26" numFmtId="165" xfId="0" applyAlignment="1" applyBorder="1" applyFont="1" applyNumberFormat="1">
      <alignment horizontal="center" vertical="center"/>
    </xf>
    <xf borderId="47" fillId="5" fontId="26" numFmtId="165" xfId="0" applyAlignment="1" applyBorder="1" applyFont="1" applyNumberFormat="1">
      <alignment horizontal="center" vertical="center"/>
    </xf>
    <xf borderId="43" fillId="5" fontId="26" numFmtId="165" xfId="0" applyAlignment="1" applyBorder="1" applyFont="1" applyNumberFormat="1">
      <alignment horizontal="center" vertical="center"/>
    </xf>
    <xf borderId="12" fillId="5" fontId="25" numFmtId="165" xfId="0" applyAlignment="1" applyBorder="1" applyFont="1" applyNumberFormat="1">
      <alignment horizontal="center" vertical="center"/>
    </xf>
    <xf borderId="11" fillId="5" fontId="24" numFmtId="0" xfId="0" applyAlignment="1" applyBorder="1" applyFont="1">
      <alignment horizontal="center" readingOrder="0" shrinkToFit="0" vertical="center" wrapText="1"/>
    </xf>
    <xf borderId="11" fillId="6" fontId="29" numFmtId="0" xfId="0" applyAlignment="1" applyBorder="1" applyFont="1">
      <alignment horizontal="center" vertical="center"/>
    </xf>
    <xf borderId="11" fillId="13" fontId="26" numFmtId="165" xfId="0" applyAlignment="1" applyBorder="1" applyFont="1" applyNumberFormat="1">
      <alignment horizontal="center" vertical="center"/>
    </xf>
    <xf borderId="9" fillId="5" fontId="37" numFmtId="165" xfId="0" applyAlignment="1" applyBorder="1" applyFont="1" applyNumberFormat="1">
      <alignment horizontal="center" vertical="center"/>
    </xf>
    <xf borderId="19" fillId="5" fontId="25" numFmtId="165" xfId="0" applyAlignment="1" applyBorder="1" applyFont="1" applyNumberFormat="1">
      <alignment horizontal="center" vertical="center"/>
    </xf>
    <xf borderId="9" fillId="6" fontId="34" numFmtId="165" xfId="0" applyAlignment="1" applyBorder="1" applyFont="1" applyNumberFormat="1">
      <alignment horizontal="center" readingOrder="0" vertical="center"/>
    </xf>
    <xf borderId="12" fillId="6" fontId="26" numFmtId="165" xfId="0" applyAlignment="1" applyBorder="1" applyFont="1" applyNumberFormat="1">
      <alignment horizontal="center" vertical="center"/>
    </xf>
    <xf borderId="0" fillId="0" fontId="30" numFmtId="0" xfId="0" applyAlignment="1" applyFont="1">
      <alignment horizontal="center" vertical="center"/>
    </xf>
    <xf borderId="43" fillId="5" fontId="24" numFmtId="0" xfId="0" applyAlignment="1" applyBorder="1" applyFont="1">
      <alignment horizontal="center" shrinkToFit="0" vertical="center" wrapText="1"/>
    </xf>
    <xf borderId="62" fillId="16" fontId="38" numFmtId="0" xfId="0" applyAlignment="1" applyBorder="1" applyFill="1" applyFont="1">
      <alignment horizontal="center" vertic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12" fillId="5" fontId="24" numFmtId="0" xfId="0" applyAlignment="1" applyBorder="1" applyFont="1">
      <alignment vertical="center"/>
    </xf>
    <xf borderId="12" fillId="5" fontId="25" numFmtId="165" xfId="0" applyAlignment="1" applyBorder="1" applyFont="1" applyNumberFormat="1">
      <alignment vertical="center"/>
    </xf>
    <xf borderId="1" fillId="5" fontId="25" numFmtId="165" xfId="0" applyAlignment="1" applyBorder="1" applyFont="1" applyNumberFormat="1">
      <alignment horizontal="center" vertical="center"/>
    </xf>
    <xf borderId="29" fillId="0" fontId="3" numFmtId="0" xfId="0" applyBorder="1" applyFont="1"/>
    <xf borderId="16" fillId="17" fontId="26" numFmtId="165" xfId="0" applyAlignment="1" applyBorder="1" applyFill="1" applyFont="1" applyNumberFormat="1">
      <alignment horizontal="center" vertical="center"/>
    </xf>
    <xf borderId="4" fillId="18" fontId="23" numFmtId="0" xfId="0" applyAlignment="1" applyBorder="1" applyFill="1" applyFont="1">
      <alignment horizontal="center" vertical="center"/>
    </xf>
    <xf borderId="66" fillId="5" fontId="24" numFmtId="0" xfId="0" applyAlignment="1" applyBorder="1" applyFont="1">
      <alignment horizontal="center" vertical="center"/>
    </xf>
    <xf borderId="67" fillId="0" fontId="3" numFmtId="0" xfId="0" applyBorder="1" applyFont="1"/>
    <xf borderId="68" fillId="0" fontId="3" numFmtId="0" xfId="0" applyBorder="1" applyFont="1"/>
    <xf borderId="43" fillId="6" fontId="24" numFmtId="0" xfId="0" applyAlignment="1" applyBorder="1" applyFont="1">
      <alignment horizontal="center" vertical="center"/>
    </xf>
    <xf borderId="4" fillId="2" fontId="29" numFmtId="0" xfId="0" applyAlignment="1" applyBorder="1" applyFont="1">
      <alignment horizontal="center" vertical="center"/>
    </xf>
    <xf borderId="16" fillId="6" fontId="25" numFmtId="165" xfId="0" applyAlignment="1" applyBorder="1" applyFont="1" applyNumberFormat="1">
      <alignment horizontal="right" vertical="center"/>
    </xf>
    <xf borderId="69" fillId="18" fontId="23" numFmtId="0" xfId="0" applyAlignment="1" applyBorder="1" applyFont="1">
      <alignment horizontal="center" vertical="center"/>
    </xf>
    <xf borderId="70" fillId="0" fontId="3" numFmtId="0" xfId="0" applyBorder="1" applyFont="1"/>
    <xf borderId="71" fillId="0" fontId="3" numFmtId="0" xfId="0" applyBorder="1" applyFont="1"/>
    <xf borderId="4" fillId="19" fontId="25" numFmtId="165" xfId="0" applyAlignment="1" applyBorder="1" applyFill="1" applyFont="1" applyNumberFormat="1">
      <alignment horizontal="center" vertical="center"/>
    </xf>
    <xf borderId="1" fillId="13" fontId="23" numFmtId="0" xfId="0" applyAlignment="1" applyBorder="1" applyFont="1">
      <alignment horizontal="center" vertical="center"/>
    </xf>
    <xf borderId="11" fillId="5" fontId="24" numFmtId="0" xfId="0" applyAlignment="1" applyBorder="1" applyFont="1">
      <alignment horizontal="center" shrinkToFit="0" vertical="center" wrapText="1"/>
    </xf>
    <xf borderId="0" fillId="0" fontId="39" numFmtId="0" xfId="0" applyFont="1"/>
    <xf borderId="4" fillId="11" fontId="37" numFmtId="0" xfId="0" applyAlignment="1" applyBorder="1" applyFont="1">
      <alignment horizontal="center"/>
    </xf>
    <xf borderId="0" fillId="5" fontId="37" numFmtId="0" xfId="0" applyFont="1"/>
    <xf borderId="9" fillId="0" fontId="11" numFmtId="0" xfId="0" applyBorder="1" applyFont="1"/>
    <xf borderId="9" fillId="5" fontId="23" numFmtId="0" xfId="0" applyAlignment="1" applyBorder="1" applyFont="1">
      <alignment horizontal="center" vertical="center"/>
    </xf>
    <xf borderId="9" fillId="0" fontId="37" numFmtId="0" xfId="0" applyAlignment="1" applyBorder="1" applyFont="1">
      <alignment horizontal="center" readingOrder="0" vertical="center"/>
    </xf>
    <xf borderId="9" fillId="5" fontId="30" numFmtId="0" xfId="0" applyAlignment="1" applyBorder="1" applyFont="1">
      <alignment horizontal="center" vertical="center"/>
    </xf>
    <xf borderId="9" fillId="6" fontId="30" numFmtId="0" xfId="0" applyAlignment="1" applyBorder="1" applyFont="1">
      <alignment horizontal="center" vertical="center"/>
    </xf>
    <xf borderId="9" fillId="0" fontId="30" numFmtId="0" xfId="0" applyAlignment="1" applyBorder="1" applyFont="1">
      <alignment horizontal="center"/>
    </xf>
    <xf borderId="62" fillId="20" fontId="38" numFmtId="0" xfId="0" applyAlignment="1" applyBorder="1" applyFill="1" applyFont="1">
      <alignment horizontal="center" vertical="center"/>
    </xf>
    <xf borderId="12" fillId="5" fontId="40" numFmtId="0" xfId="0" applyAlignment="1" applyBorder="1" applyFont="1">
      <alignment horizontal="center" vertical="center"/>
    </xf>
    <xf borderId="12" fillId="5" fontId="29" numFmtId="0" xfId="0" applyAlignment="1" applyBorder="1" applyFont="1">
      <alignment horizontal="center" vertical="center"/>
    </xf>
    <xf borderId="12" fillId="5" fontId="29" numFmtId="165" xfId="0" applyAlignment="1" applyBorder="1" applyFont="1" applyNumberFormat="1">
      <alignment horizontal="center" vertical="center"/>
    </xf>
    <xf borderId="30" fillId="5" fontId="40" numFmtId="0" xfId="0" applyAlignment="1" applyBorder="1" applyFont="1">
      <alignment horizontal="center" vertical="center"/>
    </xf>
    <xf borderId="30" fillId="5" fontId="29" numFmtId="0" xfId="0" applyAlignment="1" applyBorder="1" applyFont="1">
      <alignment horizontal="center" vertical="center"/>
    </xf>
    <xf borderId="30" fillId="5" fontId="29" numFmtId="165" xfId="0" applyAlignment="1" applyBorder="1" applyFont="1" applyNumberFormat="1">
      <alignment horizontal="center" vertical="center"/>
    </xf>
    <xf borderId="4" fillId="21" fontId="41" numFmtId="0" xfId="0" applyAlignment="1" applyBorder="1" applyFill="1" applyFont="1">
      <alignment horizontal="center" readingOrder="0" vertical="center"/>
    </xf>
    <xf borderId="72" fillId="5" fontId="42" numFmtId="0" xfId="0" applyAlignment="1" applyBorder="1" applyFont="1">
      <alignment horizontal="center" vertical="center"/>
    </xf>
    <xf borderId="0" fillId="5" fontId="42" numFmtId="0" xfId="0" applyAlignment="1" applyFont="1">
      <alignment vertical="center"/>
    </xf>
    <xf borderId="39" fillId="5" fontId="15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73" fillId="5" fontId="15" numFmtId="0" xfId="0" applyAlignment="1" applyBorder="1" applyFont="1">
      <alignment vertical="center"/>
    </xf>
    <xf borderId="11" fillId="5" fontId="40" numFmtId="0" xfId="0" applyAlignment="1" applyBorder="1" applyFont="1">
      <alignment horizontal="center" vertical="center"/>
    </xf>
    <xf borderId="9" fillId="5" fontId="29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9" fillId="5" fontId="43" numFmtId="0" xfId="0" applyAlignment="1" applyBorder="1" applyFont="1">
      <alignment horizontal="center" vertical="center"/>
    </xf>
    <xf borderId="9" fillId="5" fontId="44" numFmtId="0" xfId="0" applyAlignment="1" applyBorder="1" applyFont="1">
      <alignment horizontal="center" vertical="center"/>
    </xf>
    <xf borderId="9" fillId="6" fontId="29" numFmtId="165" xfId="0" applyAlignment="1" applyBorder="1" applyFont="1" applyNumberFormat="1">
      <alignment horizontal="center" vertical="center"/>
    </xf>
    <xf borderId="9" fillId="5" fontId="29" numFmtId="165" xfId="0" applyAlignment="1" applyBorder="1" applyFont="1" applyNumberFormat="1">
      <alignment horizontal="center" vertical="center"/>
    </xf>
    <xf borderId="9" fillId="21" fontId="29" numFmtId="165" xfId="0" applyAlignment="1" applyBorder="1" applyFont="1" applyNumberFormat="1">
      <alignment horizontal="center" vertical="center"/>
    </xf>
    <xf borderId="4" fillId="22" fontId="41" numFmtId="0" xfId="0" applyAlignment="1" applyBorder="1" applyFill="1" applyFont="1">
      <alignment horizontal="center" readingOrder="0" vertical="center"/>
    </xf>
    <xf borderId="9" fillId="5" fontId="40" numFmtId="0" xfId="0" applyAlignment="1" applyBorder="1" applyFont="1">
      <alignment horizontal="center" vertical="center"/>
    </xf>
    <xf borderId="4" fillId="5" fontId="43" numFmtId="0" xfId="0" applyAlignment="1" applyBorder="1" applyFont="1">
      <alignment horizontal="center" vertical="center"/>
    </xf>
    <xf borderId="69" fillId="5" fontId="43" numFmtId="0" xfId="0" applyAlignment="1" applyBorder="1" applyFont="1">
      <alignment horizontal="center" vertical="center"/>
    </xf>
    <xf borderId="74" fillId="0" fontId="3" numFmtId="0" xfId="0" applyBorder="1" applyFont="1"/>
    <xf borderId="19" fillId="5" fontId="29" numFmtId="0" xfId="0" applyAlignment="1" applyBorder="1" applyFont="1">
      <alignment horizontal="center" vertical="center"/>
    </xf>
    <xf borderId="19" fillId="5" fontId="43" numFmtId="0" xfId="0" applyAlignment="1" applyBorder="1" applyFont="1">
      <alignment horizontal="center" vertical="center"/>
    </xf>
    <xf borderId="12" fillId="5" fontId="44" numFmtId="0" xfId="0" applyAlignment="1" applyBorder="1" applyFont="1">
      <alignment horizontal="center" vertical="center"/>
    </xf>
    <xf borderId="9" fillId="22" fontId="29" numFmtId="0" xfId="0" applyAlignment="1" applyBorder="1" applyFont="1">
      <alignment horizontal="center" vertical="center"/>
    </xf>
    <xf borderId="19" fillId="5" fontId="26" numFmtId="0" xfId="0" applyAlignment="1" applyBorder="1" applyFont="1">
      <alignment vertical="center"/>
    </xf>
    <xf borderId="43" fillId="5" fontId="26" numFmtId="0" xfId="0" applyAlignment="1" applyBorder="1" applyFont="1">
      <alignment vertical="center"/>
    </xf>
    <xf borderId="75" fillId="5" fontId="26" numFmtId="0" xfId="0" applyAlignment="1" applyBorder="1" applyFont="1">
      <alignment vertical="center"/>
    </xf>
    <xf borderId="9" fillId="5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shrinkToFit="0" vertical="center" wrapText="1"/>
    </xf>
    <xf borderId="4" fillId="6" fontId="25" numFmtId="0" xfId="0" applyAlignment="1" applyBorder="1" applyFont="1">
      <alignment horizontal="center" vertical="center"/>
    </xf>
    <xf borderId="31" fillId="5" fontId="26" numFmtId="0" xfId="0" applyAlignment="1" applyBorder="1" applyFont="1">
      <alignment horizontal="center" shrinkToFit="0" vertical="center" wrapText="1"/>
    </xf>
    <xf borderId="12" fillId="5" fontId="26" numFmtId="0" xfId="0" applyAlignment="1" applyBorder="1" applyFont="1">
      <alignment horizontal="center" vertical="center"/>
    </xf>
    <xf borderId="9" fillId="6" fontId="26" numFmtId="166" xfId="0" applyAlignment="1" applyBorder="1" applyFont="1" applyNumberFormat="1">
      <alignment horizontal="center"/>
    </xf>
    <xf borderId="4" fillId="5" fontId="34" numFmtId="0" xfId="0" applyAlignment="1" applyBorder="1" applyFont="1">
      <alignment horizontal="center" readingOrder="0" shrinkToFit="0" vertical="center" wrapText="1"/>
    </xf>
    <xf borderId="4" fillId="22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9" fillId="5" fontId="29" numFmtId="0" xfId="0" applyAlignment="1" applyBorder="1" applyFont="1">
      <alignment vertical="center"/>
    </xf>
    <xf borderId="1" fillId="5" fontId="30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readingOrder="0" vertical="center"/>
    </xf>
    <xf borderId="0" fillId="0" fontId="45" numFmtId="0" xfId="0" applyFont="1"/>
    <xf borderId="9" fillId="22" fontId="11" numFmtId="166" xfId="0" applyBorder="1" applyFont="1" applyNumberFormat="1"/>
    <xf borderId="0" fillId="5" fontId="24" numFmtId="0" xfId="0" applyAlignment="1" applyFont="1">
      <alignment horizontal="center" vertical="center"/>
    </xf>
    <xf borderId="0" fillId="5" fontId="26" numFmtId="165" xfId="0" applyAlignment="1" applyFont="1" applyNumberFormat="1">
      <alignment horizontal="center" vertical="center"/>
    </xf>
    <xf borderId="0" fillId="5" fontId="24" numFmtId="0" xfId="0" applyAlignment="1" applyFont="1">
      <alignment vertical="center"/>
    </xf>
    <xf borderId="0" fillId="5" fontId="34" numFmtId="165" xfId="0" applyAlignment="1" applyFont="1" applyNumberFormat="1">
      <alignment vertical="center"/>
    </xf>
    <xf borderId="0" fillId="0" fontId="30" numFmtId="165" xfId="0" applyAlignment="1" applyFont="1" applyNumberFormat="1">
      <alignment horizontal="center" vertical="center"/>
    </xf>
    <xf borderId="0" fillId="0" fontId="30" numFmtId="166" xfId="0" applyAlignment="1" applyFont="1" applyNumberFormat="1">
      <alignment horizontal="center" vertical="center"/>
    </xf>
    <xf borderId="16" fillId="0" fontId="46" numFmtId="0" xfId="0" applyAlignment="1" applyBorder="1" applyFont="1">
      <alignment horizontal="center"/>
    </xf>
    <xf borderId="0" fillId="0" fontId="11" numFmtId="165" xfId="0" applyFont="1" applyNumberFormat="1"/>
    <xf borderId="31" fillId="5" fontId="24" numFmtId="0" xfId="0" applyAlignment="1" applyBorder="1" applyFont="1">
      <alignment horizontal="center" vertical="center"/>
    </xf>
    <xf borderId="4" fillId="5" fontId="12" numFmtId="165" xfId="0" applyAlignment="1" applyBorder="1" applyFont="1" applyNumberFormat="1">
      <alignment horizontal="center" shrinkToFit="0" vertical="center" wrapText="1"/>
    </xf>
    <xf borderId="26" fillId="7" fontId="13" numFmtId="165" xfId="0" applyAlignment="1" applyBorder="1" applyFont="1" applyNumberFormat="1">
      <alignment horizontal="center" shrinkToFit="0" vertical="center" wrapText="1"/>
    </xf>
    <xf borderId="39" fillId="5" fontId="13" numFmtId="165" xfId="0" applyAlignment="1" applyBorder="1" applyFont="1" applyNumberFormat="1">
      <alignment horizontal="center" vertical="center"/>
    </xf>
    <xf borderId="29" fillId="5" fontId="13" numFmtId="165" xfId="0" applyAlignment="1" applyBorder="1" applyFont="1" applyNumberFormat="1">
      <alignment horizontal="center" vertical="center"/>
    </xf>
    <xf borderId="19" fillId="5" fontId="24" numFmtId="0" xfId="0" applyAlignment="1" applyBorder="1" applyFont="1">
      <alignment horizontal="center" shrinkToFit="0" vertical="center" wrapText="1"/>
    </xf>
    <xf borderId="20" fillId="7" fontId="14" numFmtId="165" xfId="0" applyAlignment="1" applyBorder="1" applyFont="1" applyNumberFormat="1">
      <alignment horizontal="center" vertical="center"/>
    </xf>
    <xf borderId="21" fillId="7" fontId="14" numFmtId="165" xfId="0" applyAlignment="1" applyBorder="1" applyFont="1" applyNumberFormat="1">
      <alignment horizontal="center" vertical="center"/>
    </xf>
    <xf borderId="12" fillId="5" fontId="13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vertical="center"/>
    </xf>
    <xf borderId="7" fillId="6" fontId="47" numFmtId="165" xfId="0" applyAlignment="1" applyBorder="1" applyFont="1" applyNumberFormat="1">
      <alignment horizontal="center" vertical="center"/>
    </xf>
    <xf borderId="9" fillId="5" fontId="47" numFmtId="165" xfId="0" applyAlignment="1" applyBorder="1" applyFont="1" applyNumberFormat="1">
      <alignment horizontal="center" vertical="center"/>
    </xf>
    <xf borderId="9" fillId="6" fontId="47" numFmtId="165" xfId="0" applyAlignment="1" applyBorder="1" applyFont="1" applyNumberFormat="1">
      <alignment horizontal="center" vertical="center"/>
    </xf>
    <xf borderId="12" fillId="5" fontId="47" numFmtId="165" xfId="0" applyAlignment="1" applyBorder="1" applyFont="1" applyNumberFormat="1">
      <alignment horizontal="center" vertical="center"/>
    </xf>
    <xf borderId="9" fillId="7" fontId="47" numFmtId="165" xfId="0" applyAlignment="1" applyBorder="1" applyFont="1" applyNumberFormat="1">
      <alignment horizontal="center" vertical="center"/>
    </xf>
    <xf borderId="12" fillId="5" fontId="13" numFmtId="0" xfId="0" applyAlignment="1" applyBorder="1" applyFont="1">
      <alignment horizontal="center" vertical="center"/>
    </xf>
    <xf borderId="30" fillId="5" fontId="13" numFmtId="165" xfId="0" applyAlignment="1" applyBorder="1" applyFont="1" applyNumberFormat="1">
      <alignment horizontal="center" vertical="center"/>
    </xf>
    <xf borderId="76" fillId="7" fontId="14" numFmtId="165" xfId="0" applyAlignment="1" applyBorder="1" applyFont="1" applyNumberFormat="1">
      <alignment horizontal="center" vertical="center"/>
    </xf>
    <xf borderId="77" fillId="7" fontId="14" numFmtId="165" xfId="0" applyAlignment="1" applyBorder="1" applyFont="1" applyNumberFormat="1">
      <alignment horizontal="center" vertical="center"/>
    </xf>
    <xf borderId="9" fillId="0" fontId="47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7" fillId="6" fontId="47" numFmtId="165" xfId="0" applyAlignment="1" applyBorder="1" applyFont="1" applyNumberFormat="1">
      <alignment horizontal="center" readingOrder="0" vertical="center"/>
    </xf>
    <xf borderId="12" fillId="7" fontId="47" numFmtId="165" xfId="0" applyAlignment="1" applyBorder="1" applyFont="1" applyNumberFormat="1">
      <alignment horizontal="center" vertical="center"/>
    </xf>
    <xf borderId="24" fillId="6" fontId="47" numFmtId="165" xfId="0" applyAlignment="1" applyBorder="1" applyFont="1" applyNumberFormat="1">
      <alignment horizontal="center" vertical="center"/>
    </xf>
    <xf borderId="12" fillId="7" fontId="48" numFmtId="165" xfId="0" applyAlignment="1" applyBorder="1" applyFont="1" applyNumberFormat="1">
      <alignment horizontal="center"/>
    </xf>
    <xf borderId="78" fillId="5" fontId="24" numFmtId="0" xfId="0" applyAlignment="1" applyBorder="1" applyFont="1">
      <alignment horizontal="center" shrinkToFit="0" vertical="center" wrapText="1"/>
    </xf>
    <xf borderId="9" fillId="5" fontId="13" numFmtId="165" xfId="0" applyAlignment="1" applyBorder="1" applyFont="1" applyNumberFormat="1">
      <alignment horizontal="center" vertical="center"/>
    </xf>
    <xf borderId="9" fillId="7" fontId="13" numFmtId="165" xfId="0" applyAlignment="1" applyBorder="1" applyFont="1" applyNumberFormat="1">
      <alignment horizontal="center" vertical="center"/>
    </xf>
    <xf borderId="79" fillId="5" fontId="23" numFmtId="0" xfId="0" applyAlignment="1" applyBorder="1" applyFont="1">
      <alignment horizontal="center" vertical="center"/>
    </xf>
    <xf borderId="80" fillId="0" fontId="3" numFmtId="0" xfId="0" applyBorder="1" applyFont="1"/>
    <xf borderId="7" fillId="5" fontId="26" numFmtId="165" xfId="0" applyAlignment="1" applyBorder="1" applyFont="1" applyNumberFormat="1">
      <alignment horizontal="center" vertical="center"/>
    </xf>
    <xf borderId="16" fillId="5" fontId="49" numFmtId="0" xfId="0" applyAlignment="1" applyBorder="1" applyFont="1">
      <alignment horizontal="center" shrinkToFit="0" vertical="center" wrapText="1"/>
    </xf>
    <xf borderId="12" fillId="5" fontId="49" numFmtId="0" xfId="0" applyAlignment="1" applyBorder="1" applyFont="1">
      <alignment shrinkToFit="0" vertical="center" wrapText="1"/>
    </xf>
    <xf borderId="81" fillId="7" fontId="15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3" numFmtId="0" xfId="0" applyBorder="1" applyFont="1"/>
    <xf borderId="12" fillId="5" fontId="15" numFmtId="0" xfId="0" applyAlignment="1" applyBorder="1" applyFont="1">
      <alignment horizontal="center" vertical="center"/>
    </xf>
    <xf borderId="19" fillId="5" fontId="40" numFmtId="0" xfId="0" applyAlignment="1" applyBorder="1" applyFont="1">
      <alignment horizontal="center" shrinkToFit="0" vertical="center" wrapText="1"/>
    </xf>
    <xf borderId="20" fillId="7" fontId="42" numFmtId="0" xfId="0" applyAlignment="1" applyBorder="1" applyFont="1">
      <alignment horizontal="center" vertical="center"/>
    </xf>
    <xf borderId="21" fillId="7" fontId="42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vertical="center"/>
    </xf>
    <xf borderId="84" fillId="5" fontId="49" numFmtId="0" xfId="0" applyAlignment="1" applyBorder="1" applyFont="1">
      <alignment shrinkToFit="0" vertical="center" wrapText="1"/>
    </xf>
    <xf borderId="16" fillId="7" fontId="15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9" fillId="5" fontId="44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9" fillId="5" fontId="42" numFmtId="0" xfId="0" applyAlignment="1" applyBorder="1" applyFont="1">
      <alignment horizontal="center" vertical="center"/>
    </xf>
    <xf borderId="0" fillId="0" fontId="50" numFmtId="0" xfId="0" applyFont="1"/>
    <xf borderId="86" fillId="5" fontId="44" numFmtId="0" xfId="0" applyAlignment="1" applyBorder="1" applyFont="1">
      <alignment horizontal="center" vertical="center"/>
    </xf>
    <xf borderId="86" fillId="5" fontId="15" numFmtId="0" xfId="0" applyAlignment="1" applyBorder="1" applyFont="1">
      <alignment horizontal="center" vertical="center"/>
    </xf>
    <xf borderId="87" fillId="5" fontId="42" numFmtId="0" xfId="0" applyAlignment="1" applyBorder="1" applyFont="1">
      <alignment horizontal="center" vertical="center"/>
    </xf>
    <xf borderId="76" fillId="7" fontId="42" numFmtId="0" xfId="0" applyAlignment="1" applyBorder="1" applyFont="1">
      <alignment horizontal="center" vertical="center"/>
    </xf>
    <xf borderId="77" fillId="7" fontId="42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vertical="center"/>
    </xf>
    <xf borderId="12" fillId="5" fontId="51" numFmtId="165" xfId="0" applyAlignment="1" applyBorder="1" applyFont="1" applyNumberFormat="1">
      <alignment vertical="center"/>
    </xf>
    <xf borderId="72" fillId="11" fontId="23" numFmtId="0" xfId="0" applyAlignment="1" applyBorder="1" applyFont="1">
      <alignment horizontal="center" vertical="center"/>
    </xf>
    <xf borderId="81" fillId="7" fontId="13" numFmtId="165" xfId="0" applyAlignment="1" applyBorder="1" applyFont="1" applyNumberFormat="1">
      <alignment horizontal="center" shrinkToFit="0" vertical="center" wrapText="1"/>
    </xf>
    <xf borderId="9" fillId="5" fontId="52" numFmtId="0" xfId="0" applyAlignment="1" applyBorder="1" applyFont="1">
      <alignment horizontal="center" vertical="center"/>
    </xf>
    <xf borderId="30" fillId="5" fontId="34" numFmtId="0" xfId="0" applyAlignment="1" applyBorder="1" applyFont="1">
      <alignment horizontal="center" vertical="center"/>
    </xf>
    <xf borderId="5" fillId="5" fontId="25" numFmtId="0" xfId="0" applyAlignment="1" applyBorder="1" applyFont="1">
      <alignment horizontal="center" vertical="center"/>
    </xf>
    <xf borderId="5" fillId="5" fontId="12" numFmtId="0" xfId="0" applyAlignment="1" applyBorder="1" applyFont="1">
      <alignment horizontal="center" shrinkToFit="0" wrapText="1"/>
    </xf>
    <xf borderId="6" fillId="5" fontId="12" numFmtId="0" xfId="0" applyAlignment="1" applyBorder="1" applyFont="1">
      <alignment horizontal="center" shrinkToFit="0" wrapText="1"/>
    </xf>
    <xf borderId="44" fillId="11" fontId="23" numFmtId="0" xfId="0" applyAlignment="1" applyBorder="1" applyFont="1">
      <alignment horizontal="center" vertical="center"/>
    </xf>
    <xf borderId="88" fillId="0" fontId="3" numFmtId="0" xfId="0" applyBorder="1" applyFont="1"/>
    <xf borderId="6" fillId="2" fontId="19" numFmtId="164" xfId="0" applyAlignment="1" applyBorder="1" applyFont="1" applyNumberFormat="1">
      <alignment horizontal="center" shrinkToFit="0" wrapText="1"/>
    </xf>
    <xf borderId="89" fillId="11" fontId="23" numFmtId="0" xfId="0" applyAlignment="1" applyBorder="1" applyFont="1">
      <alignment horizontal="center" vertical="center"/>
    </xf>
    <xf borderId="59" fillId="5" fontId="23" numFmtId="0" xfId="0" applyAlignment="1" applyBorder="1" applyFont="1">
      <alignment horizontal="center" vertical="center"/>
    </xf>
    <xf borderId="4" fillId="11" fontId="37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center" vertical="center"/>
    </xf>
    <xf borderId="9" fillId="5" fontId="37" numFmtId="0" xfId="0" applyBorder="1" applyFont="1"/>
    <xf borderId="44" fillId="21" fontId="41" numFmtId="0" xfId="0" applyAlignment="1" applyBorder="1" applyFont="1">
      <alignment horizontal="center" readingOrder="0" vertical="center"/>
    </xf>
    <xf borderId="90" fillId="5" fontId="40" numFmtId="0" xfId="0" applyAlignment="1" applyBorder="1" applyFont="1">
      <alignment vertical="center"/>
    </xf>
    <xf borderId="12" fillId="5" fontId="15" numFmtId="0" xfId="0" applyAlignment="1" applyBorder="1" applyFont="1">
      <alignment vertical="center"/>
    </xf>
    <xf borderId="72" fillId="5" fontId="42" numFmtId="0" xfId="0" applyAlignment="1" applyBorder="1" applyFont="1">
      <alignment horizontal="right" vertical="center"/>
    </xf>
    <xf borderId="75" fillId="5" fontId="42" numFmtId="0" xfId="0" applyAlignment="1" applyBorder="1" applyFont="1">
      <alignment vertical="center"/>
    </xf>
    <xf borderId="30" fillId="5" fontId="15" numFmtId="0" xfId="0" applyAlignment="1" applyBorder="1" applyFont="1">
      <alignment vertical="center"/>
    </xf>
    <xf borderId="44" fillId="22" fontId="4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0.14"/>
    <col customWidth="1" min="3" max="3" width="9.57"/>
    <col customWidth="1" min="4" max="4" width="10.71"/>
    <col customWidth="1" min="5" max="5" width="9.57"/>
    <col customWidth="1" min="6" max="6" width="9.29"/>
    <col customWidth="1" min="7" max="7" width="11.29"/>
    <col customWidth="1" min="8" max="8" width="10.71"/>
    <col customWidth="1" min="9" max="9" width="9.57"/>
    <col customWidth="1" min="10" max="11" width="9.29"/>
    <col customWidth="1" min="12" max="12" width="9.86"/>
    <col customWidth="1" min="13" max="13" width="7.57"/>
    <col customWidth="1" min="14" max="15" width="10.71"/>
    <col customWidth="1" min="16" max="16" width="8.43"/>
    <col customWidth="1" min="17" max="17" width="7.0"/>
    <col customWidth="1" min="18" max="18" width="7.86"/>
    <col customWidth="1" min="19" max="19" width="8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</row>
    <row r="4">
      <c r="A4" s="14" t="s">
        <v>13</v>
      </c>
      <c r="B4" s="15">
        <f>10+1-7+6+1-1+1-1</f>
        <v>10</v>
      </c>
      <c r="C4" s="15">
        <f>4+1-5+5-1-1+1+1-1+1</f>
        <v>5</v>
      </c>
      <c r="D4" s="15">
        <f>0+1+11-2-1+1+2-1-6+6+1-3+3</f>
        <v>12</v>
      </c>
      <c r="E4" s="15">
        <f>9+3-1-1+1+1-1-6+6+1-1</f>
        <v>11</v>
      </c>
      <c r="F4" s="15">
        <f>12-2+2-1+1</f>
        <v>12</v>
      </c>
      <c r="G4" s="15">
        <f>7+1</f>
        <v>8</v>
      </c>
      <c r="H4" s="15">
        <f>8+1-1+1</f>
        <v>9</v>
      </c>
      <c r="I4" s="15">
        <f>8</f>
        <v>8</v>
      </c>
      <c r="J4" s="16">
        <f>8-1+1</f>
        <v>8</v>
      </c>
      <c r="K4" s="17">
        <f>8+4-1-1+1+6</f>
        <v>17</v>
      </c>
      <c r="L4" s="18">
        <f>1+1+18-1+1+5-1+1</f>
        <v>25</v>
      </c>
      <c r="M4" s="18">
        <f>0+30-1+1-2-1+2-3+1+3-2+2-3</f>
        <v>27</v>
      </c>
      <c r="N4" s="19">
        <f>3+1+26-2-2+2+2-2+2-1+1+1-2</f>
        <v>29</v>
      </c>
      <c r="O4" s="19">
        <f>7+13-1-1+1-2-1+1+2-1+1</f>
        <v>19</v>
      </c>
      <c r="P4" s="19">
        <f>8+1+6-1+1-2</f>
        <v>13</v>
      </c>
      <c r="Q4" s="19">
        <f>6+4-1+1</f>
        <v>10</v>
      </c>
      <c r="R4" s="19">
        <f>4-1+1</f>
        <v>4</v>
      </c>
      <c r="S4" s="19">
        <f>3+1-1+1</f>
        <v>4</v>
      </c>
      <c r="T4" s="20">
        <f t="shared" ref="T4:T28" si="2">SUM(B4:S4)</f>
        <v>231</v>
      </c>
    </row>
    <row r="5">
      <c r="A5" s="14" t="s">
        <v>14</v>
      </c>
      <c r="B5" s="15">
        <f>11</f>
        <v>11</v>
      </c>
      <c r="C5" s="15">
        <f>10+1+1-1+1+1</f>
        <v>13</v>
      </c>
      <c r="D5" s="15">
        <f>13+1+1-6+6+1</f>
        <v>16</v>
      </c>
      <c r="E5" s="15">
        <f>12+1+1+9-6+6+1</f>
        <v>24</v>
      </c>
      <c r="F5" s="15">
        <f>17-1+1</f>
        <v>17</v>
      </c>
      <c r="G5" s="15">
        <f>9-1+1</f>
        <v>9</v>
      </c>
      <c r="H5" s="15">
        <f>5+1</f>
        <v>6</v>
      </c>
      <c r="I5" s="15">
        <f t="shared" ref="I5:J5" si="1">4+1</f>
        <v>5</v>
      </c>
      <c r="J5" s="21">
        <f t="shared" si="1"/>
        <v>5</v>
      </c>
      <c r="K5" s="22">
        <f>18+1</f>
        <v>19</v>
      </c>
      <c r="L5" s="19">
        <f>7+13</f>
        <v>20</v>
      </c>
      <c r="M5" s="19">
        <f>10+2+18-1+1</f>
        <v>30</v>
      </c>
      <c r="N5" s="19">
        <f>8+6+1+2+13</f>
        <v>30</v>
      </c>
      <c r="O5" s="19">
        <f>11+1+8-1</f>
        <v>19</v>
      </c>
      <c r="P5" s="19">
        <f>11+1+3+1</f>
        <v>16</v>
      </c>
      <c r="Q5" s="19">
        <f>5+1+4</f>
        <v>10</v>
      </c>
      <c r="R5" s="19">
        <f>6+1</f>
        <v>7</v>
      </c>
      <c r="S5" s="19">
        <f>9+1</f>
        <v>10</v>
      </c>
      <c r="T5" s="20">
        <f t="shared" si="2"/>
        <v>267</v>
      </c>
    </row>
    <row r="6">
      <c r="A6" s="14" t="s">
        <v>15</v>
      </c>
      <c r="B6" s="15">
        <f>11-1+1</f>
        <v>11</v>
      </c>
      <c r="C6" s="15">
        <f>8-1+1</f>
        <v>8</v>
      </c>
      <c r="D6" s="15">
        <f>12</f>
        <v>12</v>
      </c>
      <c r="E6" s="15">
        <f>7+1-7+7</f>
        <v>8</v>
      </c>
      <c r="F6" s="15">
        <f>12+1</f>
        <v>13</v>
      </c>
      <c r="G6" s="15">
        <f>9+1</f>
        <v>10</v>
      </c>
      <c r="H6" s="15">
        <f>7+1</f>
        <v>8</v>
      </c>
      <c r="I6" s="15">
        <f>7</f>
        <v>7</v>
      </c>
      <c r="J6" s="21">
        <f>4+1</f>
        <v>5</v>
      </c>
      <c r="K6" s="22">
        <f>10+1+1</f>
        <v>12</v>
      </c>
      <c r="L6" s="19">
        <f>6+2+12</f>
        <v>20</v>
      </c>
      <c r="M6" s="19">
        <f>10+20-1+1-1</f>
        <v>29</v>
      </c>
      <c r="N6" s="19">
        <f>16+1+3+10</f>
        <v>30</v>
      </c>
      <c r="O6" s="19">
        <f>10-1+10</f>
        <v>19</v>
      </c>
      <c r="P6" s="19">
        <f>11-3+1+3+6</f>
        <v>18</v>
      </c>
      <c r="Q6" s="19">
        <f>8+2</f>
        <v>10</v>
      </c>
      <c r="R6" s="19">
        <f>6</f>
        <v>6</v>
      </c>
      <c r="S6" s="19">
        <f>6+1</f>
        <v>7</v>
      </c>
      <c r="T6" s="20">
        <f t="shared" si="2"/>
        <v>233</v>
      </c>
    </row>
    <row r="7">
      <c r="A7" s="14" t="s">
        <v>16</v>
      </c>
      <c r="B7" s="15">
        <f t="shared" ref="B7:B8" si="5">10+1</f>
        <v>11</v>
      </c>
      <c r="C7" s="15">
        <f>7+1</f>
        <v>8</v>
      </c>
      <c r="D7" s="15">
        <f t="shared" ref="D7:E7" si="3">13+1+1</f>
        <v>15</v>
      </c>
      <c r="E7" s="15">
        <f t="shared" si="3"/>
        <v>15</v>
      </c>
      <c r="F7" s="15">
        <f>10+1+1</f>
        <v>12</v>
      </c>
      <c r="G7" s="15">
        <f>6+1</f>
        <v>7</v>
      </c>
      <c r="H7" s="15">
        <f>5+1</f>
        <v>6</v>
      </c>
      <c r="I7" s="15">
        <f t="shared" ref="I7:J7" si="4">4+1</f>
        <v>5</v>
      </c>
      <c r="J7" s="21">
        <f t="shared" si="4"/>
        <v>5</v>
      </c>
      <c r="K7" s="22">
        <f>8+1-1+3-1</f>
        <v>10</v>
      </c>
      <c r="L7" s="19">
        <f>9+10</f>
        <v>19</v>
      </c>
      <c r="M7" s="19">
        <f>16+15-1+1</f>
        <v>31</v>
      </c>
      <c r="N7" s="19">
        <f>19+1</f>
        <v>20</v>
      </c>
      <c r="O7" s="19">
        <f>12+8</f>
        <v>20</v>
      </c>
      <c r="P7" s="19">
        <f>12+1+2</f>
        <v>15</v>
      </c>
      <c r="Q7" s="19">
        <f>8+1+1</f>
        <v>10</v>
      </c>
      <c r="R7" s="19">
        <f>6+1+1</f>
        <v>8</v>
      </c>
      <c r="S7" s="19">
        <f>4+1+1</f>
        <v>6</v>
      </c>
      <c r="T7" s="20">
        <f t="shared" si="2"/>
        <v>223</v>
      </c>
    </row>
    <row r="8">
      <c r="A8" s="14" t="s">
        <v>17</v>
      </c>
      <c r="B8" s="15">
        <f t="shared" si="5"/>
        <v>11</v>
      </c>
      <c r="C8" s="15">
        <f>8+1</f>
        <v>9</v>
      </c>
      <c r="D8" s="15">
        <f>0+2+1+9</f>
        <v>12</v>
      </c>
      <c r="E8" s="15">
        <f t="shared" ref="E8:E10" si="7">11+1</f>
        <v>12</v>
      </c>
      <c r="F8" s="15">
        <f>6+1</f>
        <v>7</v>
      </c>
      <c r="G8" s="15">
        <f>10+1</f>
        <v>11</v>
      </c>
      <c r="H8" s="15">
        <f>3+1</f>
        <v>4</v>
      </c>
      <c r="I8" s="15">
        <f>4+1</f>
        <v>5</v>
      </c>
      <c r="J8" s="21">
        <f>5+1</f>
        <v>6</v>
      </c>
      <c r="K8" s="22">
        <f>12</f>
        <v>12</v>
      </c>
      <c r="L8" s="19">
        <f t="shared" ref="L8:L9" si="9">11+1+8</f>
        <v>20</v>
      </c>
      <c r="M8" s="19">
        <f>18+2+10</f>
        <v>30</v>
      </c>
      <c r="N8" s="19">
        <f>21+10+9</f>
        <v>40</v>
      </c>
      <c r="O8" s="19">
        <f>10+1+9-1</f>
        <v>19</v>
      </c>
      <c r="P8" s="19">
        <f>13+1</f>
        <v>14</v>
      </c>
      <c r="Q8" s="19">
        <f>9+1</f>
        <v>10</v>
      </c>
      <c r="R8" s="19">
        <f t="shared" ref="R8:S8" si="6">4+1</f>
        <v>5</v>
      </c>
      <c r="S8" s="19">
        <f t="shared" si="6"/>
        <v>5</v>
      </c>
      <c r="T8" s="20">
        <f t="shared" si="2"/>
        <v>232</v>
      </c>
    </row>
    <row r="9">
      <c r="A9" s="14" t="s">
        <v>18</v>
      </c>
      <c r="B9" s="15">
        <f>7+1</f>
        <v>8</v>
      </c>
      <c r="C9" s="15">
        <f>9+2</f>
        <v>11</v>
      </c>
      <c r="D9" s="15">
        <f>10+1</f>
        <v>11</v>
      </c>
      <c r="E9" s="15">
        <f t="shared" si="7"/>
        <v>12</v>
      </c>
      <c r="F9" s="15">
        <f>10+1</f>
        <v>11</v>
      </c>
      <c r="G9" s="15">
        <f t="shared" ref="G9:G10" si="10">4+1</f>
        <v>5</v>
      </c>
      <c r="H9" s="15">
        <f t="shared" ref="H9:J9" si="8">5+1</f>
        <v>6</v>
      </c>
      <c r="I9" s="15">
        <f t="shared" si="8"/>
        <v>6</v>
      </c>
      <c r="J9" s="21">
        <f t="shared" si="8"/>
        <v>6</v>
      </c>
      <c r="K9" s="22">
        <f>8+4</f>
        <v>12</v>
      </c>
      <c r="L9" s="19">
        <f t="shared" si="9"/>
        <v>20</v>
      </c>
      <c r="M9" s="19">
        <f>16+1+13-21+21</f>
        <v>30</v>
      </c>
      <c r="N9" s="19">
        <f>13+2+15-12+12</f>
        <v>30</v>
      </c>
      <c r="O9" s="19">
        <f>12+1-1+7</f>
        <v>19</v>
      </c>
      <c r="P9" s="22">
        <f>14+1</f>
        <v>15</v>
      </c>
      <c r="Q9" s="19">
        <f>12+1</f>
        <v>13</v>
      </c>
      <c r="R9" s="19">
        <f>6+1-5+5</f>
        <v>7</v>
      </c>
      <c r="S9" s="19">
        <f>6+1</f>
        <v>7</v>
      </c>
      <c r="T9" s="20">
        <f t="shared" si="2"/>
        <v>229</v>
      </c>
    </row>
    <row r="10">
      <c r="A10" s="14" t="s">
        <v>19</v>
      </c>
      <c r="B10" s="15">
        <f>10+1</f>
        <v>11</v>
      </c>
      <c r="C10" s="15">
        <f>15+1-2+2</f>
        <v>16</v>
      </c>
      <c r="D10" s="15">
        <f>6+1-2+2+5</f>
        <v>12</v>
      </c>
      <c r="E10" s="15">
        <f t="shared" si="7"/>
        <v>12</v>
      </c>
      <c r="F10" s="15">
        <f>8+1-1+1</f>
        <v>9</v>
      </c>
      <c r="G10" s="15">
        <f t="shared" si="10"/>
        <v>5</v>
      </c>
      <c r="H10" s="15">
        <f>4+1</f>
        <v>5</v>
      </c>
      <c r="I10" s="15">
        <f t="shared" ref="I10:J10" si="11">3+1</f>
        <v>4</v>
      </c>
      <c r="J10" s="21">
        <f t="shared" si="11"/>
        <v>4</v>
      </c>
      <c r="K10" s="22">
        <f>10+1</f>
        <v>11</v>
      </c>
      <c r="L10" s="19">
        <f>14+1-3+3+5+1</f>
        <v>21</v>
      </c>
      <c r="M10" s="19">
        <f>17-7+7-1+1+13+1</f>
        <v>31</v>
      </c>
      <c r="N10" s="19">
        <f>18-7+7+12+1-1</f>
        <v>30</v>
      </c>
      <c r="O10" s="19">
        <f>15+1-4+4-2+2+4</f>
        <v>20</v>
      </c>
      <c r="P10" s="23">
        <f>10+1+4</f>
        <v>15</v>
      </c>
      <c r="Q10" s="24">
        <f>8+2</f>
        <v>10</v>
      </c>
      <c r="R10" s="19">
        <f>5</f>
        <v>5</v>
      </c>
      <c r="S10" s="19">
        <f t="shared" ref="S10:S11" si="15">5+1</f>
        <v>6</v>
      </c>
      <c r="T10" s="20">
        <f t="shared" si="2"/>
        <v>227</v>
      </c>
    </row>
    <row r="11">
      <c r="A11" s="14" t="s">
        <v>20</v>
      </c>
      <c r="B11" s="15">
        <f t="shared" ref="B11:D11" si="12">4+1</f>
        <v>5</v>
      </c>
      <c r="C11" s="15">
        <f t="shared" si="12"/>
        <v>5</v>
      </c>
      <c r="D11" s="15">
        <f t="shared" si="12"/>
        <v>5</v>
      </c>
      <c r="E11" s="15">
        <f>0+1+5+5</f>
        <v>11</v>
      </c>
      <c r="F11" s="15">
        <f>2+1</f>
        <v>3</v>
      </c>
      <c r="G11" s="15">
        <f t="shared" ref="G11:H11" si="13">1+1</f>
        <v>2</v>
      </c>
      <c r="H11" s="15">
        <f t="shared" si="13"/>
        <v>2</v>
      </c>
      <c r="I11" s="15">
        <f>3+1</f>
        <v>4</v>
      </c>
      <c r="J11" s="21">
        <f>2+1</f>
        <v>3</v>
      </c>
      <c r="K11" s="22">
        <f>7+1</f>
        <v>8</v>
      </c>
      <c r="L11" s="19">
        <f>7</f>
        <v>7</v>
      </c>
      <c r="M11" s="19">
        <f>5+1-1+1</f>
        <v>6</v>
      </c>
      <c r="N11" s="19">
        <f t="shared" ref="N11:O11" si="14">6</f>
        <v>6</v>
      </c>
      <c r="O11" s="19">
        <f t="shared" si="14"/>
        <v>6</v>
      </c>
      <c r="P11" s="19">
        <f>4+1</f>
        <v>5</v>
      </c>
      <c r="Q11" s="19">
        <f>5+1</f>
        <v>6</v>
      </c>
      <c r="R11" s="19">
        <f>3+1</f>
        <v>4</v>
      </c>
      <c r="S11" s="19">
        <f t="shared" si="15"/>
        <v>6</v>
      </c>
      <c r="T11" s="20">
        <f t="shared" si="2"/>
        <v>94</v>
      </c>
    </row>
    <row r="12">
      <c r="A12" s="14" t="s">
        <v>21</v>
      </c>
      <c r="B12" s="15">
        <f t="shared" ref="B12:C12" si="16">4+1</f>
        <v>5</v>
      </c>
      <c r="C12" s="15">
        <f t="shared" si="16"/>
        <v>5</v>
      </c>
      <c r="D12" s="15">
        <f>6+1</f>
        <v>7</v>
      </c>
      <c r="E12" s="15">
        <f>3+1+1</f>
        <v>5</v>
      </c>
      <c r="F12" s="15">
        <f>4</f>
        <v>4</v>
      </c>
      <c r="G12" s="15">
        <f t="shared" ref="G12:H12" si="17">2+1</f>
        <v>3</v>
      </c>
      <c r="H12" s="15">
        <f t="shared" si="17"/>
        <v>3</v>
      </c>
      <c r="I12" s="15">
        <f t="shared" ref="I12:J12" si="18">1+1</f>
        <v>2</v>
      </c>
      <c r="J12" s="25">
        <f t="shared" si="18"/>
        <v>2</v>
      </c>
      <c r="K12" s="22">
        <f>4+1</f>
        <v>5</v>
      </c>
      <c r="L12" s="22">
        <f>5</f>
        <v>5</v>
      </c>
      <c r="M12" s="22">
        <f>6-1+1</f>
        <v>6</v>
      </c>
      <c r="N12" s="22">
        <f t="shared" ref="N12:O12" si="19">4</f>
        <v>4</v>
      </c>
      <c r="O12" s="22">
        <f t="shared" si="19"/>
        <v>4</v>
      </c>
      <c r="P12" s="22">
        <f>3+1</f>
        <v>4</v>
      </c>
      <c r="Q12" s="22">
        <f>2+1</f>
        <v>3</v>
      </c>
      <c r="R12" s="22">
        <f t="shared" ref="R12:S12" si="20">1+1</f>
        <v>2</v>
      </c>
      <c r="S12" s="22">
        <f t="shared" si="20"/>
        <v>2</v>
      </c>
      <c r="T12" s="20">
        <f t="shared" si="2"/>
        <v>71</v>
      </c>
    </row>
    <row r="13">
      <c r="A13" s="14" t="s">
        <v>22</v>
      </c>
      <c r="B13" s="15">
        <f>3</f>
        <v>3</v>
      </c>
      <c r="C13" s="15">
        <f>3+1-2+2</f>
        <v>4</v>
      </c>
      <c r="D13" s="15">
        <f>5-2+2</f>
        <v>5</v>
      </c>
      <c r="E13" s="15">
        <f>4</f>
        <v>4</v>
      </c>
      <c r="F13" s="15">
        <f>1+5+1</f>
        <v>7</v>
      </c>
      <c r="G13" s="15">
        <f>3+1</f>
        <v>4</v>
      </c>
      <c r="H13" s="15">
        <f t="shared" ref="H13:J13" si="21">2+1</f>
        <v>3</v>
      </c>
      <c r="I13" s="15">
        <f t="shared" si="21"/>
        <v>3</v>
      </c>
      <c r="J13" s="21">
        <f t="shared" si="21"/>
        <v>3</v>
      </c>
      <c r="K13" s="22">
        <f>0+5+1</f>
        <v>6</v>
      </c>
      <c r="L13" s="22">
        <f>0+10</f>
        <v>10</v>
      </c>
      <c r="M13" s="22">
        <f t="shared" ref="M13:N13" si="22">0+11+1</f>
        <v>12</v>
      </c>
      <c r="N13" s="22">
        <f t="shared" si="22"/>
        <v>12</v>
      </c>
      <c r="O13" s="22">
        <f>0+7</f>
        <v>7</v>
      </c>
      <c r="P13" s="22">
        <f>0+5+1</f>
        <v>6</v>
      </c>
      <c r="Q13" s="22">
        <f>0+3+1</f>
        <v>4</v>
      </c>
      <c r="R13" s="22">
        <f t="shared" ref="R13:S13" si="23">0+1+1</f>
        <v>2</v>
      </c>
      <c r="S13" s="22">
        <f t="shared" si="23"/>
        <v>2</v>
      </c>
      <c r="T13" s="20">
        <f t="shared" si="2"/>
        <v>97</v>
      </c>
    </row>
    <row r="14">
      <c r="A14" s="14" t="s">
        <v>23</v>
      </c>
      <c r="B14" s="15">
        <f>5</f>
        <v>5</v>
      </c>
      <c r="C14" s="15">
        <f>6</f>
        <v>6</v>
      </c>
      <c r="D14" s="15">
        <f>5</f>
        <v>5</v>
      </c>
      <c r="E14" s="15">
        <f>6</f>
        <v>6</v>
      </c>
      <c r="F14" s="15">
        <f>5-1+1</f>
        <v>5</v>
      </c>
      <c r="G14" s="15">
        <f>3</f>
        <v>3</v>
      </c>
      <c r="H14" s="15">
        <f>2</f>
        <v>2</v>
      </c>
      <c r="I14" s="15">
        <f t="shared" ref="I14:J14" si="24">3</f>
        <v>3</v>
      </c>
      <c r="J14" s="21">
        <f t="shared" si="24"/>
        <v>3</v>
      </c>
      <c r="K14" s="22">
        <f>0+4+2</f>
        <v>6</v>
      </c>
      <c r="L14" s="22">
        <f>0+7+1</f>
        <v>8</v>
      </c>
      <c r="M14" s="22">
        <f>0+8+1</f>
        <v>9</v>
      </c>
      <c r="N14" s="22">
        <f>0+9</f>
        <v>9</v>
      </c>
      <c r="O14" s="22">
        <f t="shared" ref="O14:O15" si="28">0+5+1</f>
        <v>6</v>
      </c>
      <c r="P14" s="22">
        <f>0+3+1</f>
        <v>4</v>
      </c>
      <c r="Q14" s="22">
        <f>0+3+2</f>
        <v>5</v>
      </c>
      <c r="R14" s="22">
        <f>0+1+1</f>
        <v>2</v>
      </c>
      <c r="S14" s="22">
        <f>1+1</f>
        <v>2</v>
      </c>
      <c r="T14" s="20">
        <f t="shared" si="2"/>
        <v>89</v>
      </c>
    </row>
    <row r="15">
      <c r="A15" s="14" t="s">
        <v>24</v>
      </c>
      <c r="B15" s="15">
        <f>7</f>
        <v>7</v>
      </c>
      <c r="C15" s="15">
        <f>4+1</f>
        <v>5</v>
      </c>
      <c r="D15" s="15">
        <f>4+1-1+1+1</f>
        <v>6</v>
      </c>
      <c r="E15" s="15">
        <f t="shared" ref="E15:F15" si="25">4</f>
        <v>4</v>
      </c>
      <c r="F15" s="26">
        <f t="shared" si="25"/>
        <v>4</v>
      </c>
      <c r="G15" s="15">
        <f>1+1</f>
        <v>2</v>
      </c>
      <c r="H15" s="15">
        <f t="shared" ref="H15:I15" si="26">3</f>
        <v>3</v>
      </c>
      <c r="I15" s="15">
        <f t="shared" si="26"/>
        <v>3</v>
      </c>
      <c r="J15" s="21">
        <f>2</f>
        <v>2</v>
      </c>
      <c r="K15" s="22">
        <f t="shared" ref="K15:L15" si="27">0+4</f>
        <v>4</v>
      </c>
      <c r="L15" s="22">
        <f t="shared" si="27"/>
        <v>4</v>
      </c>
      <c r="M15" s="22">
        <f>0+6</f>
        <v>6</v>
      </c>
      <c r="N15" s="22">
        <f>0+4+3</f>
        <v>7</v>
      </c>
      <c r="O15" s="22">
        <f t="shared" si="28"/>
        <v>6</v>
      </c>
      <c r="P15" s="22">
        <f>0+5</f>
        <v>5</v>
      </c>
      <c r="Q15" s="22">
        <f t="shared" ref="Q15:R15" si="29">0+2+1</f>
        <v>3</v>
      </c>
      <c r="R15" s="22">
        <f t="shared" si="29"/>
        <v>3</v>
      </c>
      <c r="S15" s="22">
        <f>0+3+1</f>
        <v>4</v>
      </c>
      <c r="T15" s="20">
        <f t="shared" si="2"/>
        <v>78</v>
      </c>
    </row>
    <row r="16">
      <c r="A16" s="14" t="s">
        <v>25</v>
      </c>
      <c r="B16" s="15">
        <f>9+1</f>
        <v>10</v>
      </c>
      <c r="C16" s="15">
        <f>2+1-2+2</f>
        <v>3</v>
      </c>
      <c r="D16" s="15">
        <f>3+1-2+2-1+1+1</f>
        <v>5</v>
      </c>
      <c r="E16" s="15">
        <f>0+1-1+5+5</f>
        <v>10</v>
      </c>
      <c r="F16" s="15">
        <f>0+3</f>
        <v>3</v>
      </c>
      <c r="G16" s="15">
        <f>4+1</f>
        <v>5</v>
      </c>
      <c r="H16" s="15">
        <f>3+1</f>
        <v>4</v>
      </c>
      <c r="I16" s="15">
        <f t="shared" ref="I16:J16" si="30">1+1</f>
        <v>2</v>
      </c>
      <c r="J16" s="21">
        <f t="shared" si="30"/>
        <v>2</v>
      </c>
      <c r="K16" s="22">
        <f>0+5+1</f>
        <v>6</v>
      </c>
      <c r="L16" s="22">
        <f>0+3</f>
        <v>3</v>
      </c>
      <c r="M16" s="22">
        <f>0+12</f>
        <v>12</v>
      </c>
      <c r="N16" s="22">
        <f>0+11+1</f>
        <v>12</v>
      </c>
      <c r="O16" s="22">
        <f>0+6</f>
        <v>6</v>
      </c>
      <c r="P16" s="22">
        <f>0+4+1</f>
        <v>5</v>
      </c>
      <c r="Q16" s="22">
        <f>0+3+1</f>
        <v>4</v>
      </c>
      <c r="R16" s="22">
        <f>0+2+1</f>
        <v>3</v>
      </c>
      <c r="S16" s="22">
        <f>0+1+1</f>
        <v>2</v>
      </c>
      <c r="T16" s="20">
        <f t="shared" si="2"/>
        <v>97</v>
      </c>
    </row>
    <row r="17">
      <c r="A17" s="14" t="s">
        <v>26</v>
      </c>
      <c r="B17" s="15">
        <f>5</f>
        <v>5</v>
      </c>
      <c r="C17" s="15">
        <f>0+5+5</f>
        <v>10</v>
      </c>
      <c r="D17" s="15">
        <f>4</f>
        <v>4</v>
      </c>
      <c r="E17" s="15">
        <f>0+1+1</f>
        <v>2</v>
      </c>
      <c r="F17" s="15">
        <f>1+1+1</f>
        <v>3</v>
      </c>
      <c r="G17" s="15">
        <f>4</f>
        <v>4</v>
      </c>
      <c r="H17" s="15">
        <f>0+2</f>
        <v>2</v>
      </c>
      <c r="I17" s="15">
        <f t="shared" ref="I17:J17" si="31">2</f>
        <v>2</v>
      </c>
      <c r="J17" s="21">
        <f t="shared" si="31"/>
        <v>2</v>
      </c>
      <c r="K17" s="22">
        <f>4+1</f>
        <v>5</v>
      </c>
      <c r="L17" s="19">
        <f>1+5</f>
        <v>6</v>
      </c>
      <c r="M17" s="19">
        <f>12+1-1+1</f>
        <v>13</v>
      </c>
      <c r="N17" s="19">
        <f>4+2-1</f>
        <v>5</v>
      </c>
      <c r="O17" s="19">
        <f>4+1</f>
        <v>5</v>
      </c>
      <c r="P17" s="22">
        <f t="shared" ref="P17:Q17" si="32">2+1</f>
        <v>3</v>
      </c>
      <c r="Q17" s="22">
        <f t="shared" si="32"/>
        <v>3</v>
      </c>
      <c r="R17" s="19">
        <f t="shared" ref="R17:S17" si="33">1+1</f>
        <v>2</v>
      </c>
      <c r="S17" s="19">
        <f t="shared" si="33"/>
        <v>2</v>
      </c>
      <c r="T17" s="20">
        <f t="shared" si="2"/>
        <v>78</v>
      </c>
    </row>
    <row r="18">
      <c r="A18" s="14" t="s">
        <v>27</v>
      </c>
      <c r="B18" s="15">
        <f>4+1+1</f>
        <v>6</v>
      </c>
      <c r="C18" s="15">
        <f>4</f>
        <v>4</v>
      </c>
      <c r="D18" s="15">
        <f>9+2</f>
        <v>11</v>
      </c>
      <c r="E18" s="15">
        <f>10+1-1+1</f>
        <v>11</v>
      </c>
      <c r="F18" s="15">
        <f>7</f>
        <v>7</v>
      </c>
      <c r="G18" s="15">
        <f t="shared" ref="G18:J18" si="34">2+1</f>
        <v>3</v>
      </c>
      <c r="H18" s="15">
        <f t="shared" si="34"/>
        <v>3</v>
      </c>
      <c r="I18" s="15">
        <f t="shared" si="34"/>
        <v>3</v>
      </c>
      <c r="J18" s="21">
        <f t="shared" si="34"/>
        <v>3</v>
      </c>
      <c r="K18" s="22">
        <f>0+5</f>
        <v>5</v>
      </c>
      <c r="L18" s="22">
        <f>0+4+2</f>
        <v>6</v>
      </c>
      <c r="M18" s="22">
        <f>0+10+1</f>
        <v>11</v>
      </c>
      <c r="N18" s="22">
        <f>0+8+2</f>
        <v>10</v>
      </c>
      <c r="O18" s="22">
        <f>0+7</f>
        <v>7</v>
      </c>
      <c r="P18" s="22">
        <f t="shared" ref="P18:Q18" si="35">0+3+1</f>
        <v>4</v>
      </c>
      <c r="Q18" s="22">
        <f t="shared" si="35"/>
        <v>4</v>
      </c>
      <c r="R18" s="22">
        <f t="shared" ref="R18:S18" si="36">0+2+1</f>
        <v>3</v>
      </c>
      <c r="S18" s="22">
        <f t="shared" si="36"/>
        <v>3</v>
      </c>
      <c r="T18" s="20">
        <f t="shared" si="2"/>
        <v>104</v>
      </c>
    </row>
    <row r="19">
      <c r="A19" s="14" t="s">
        <v>28</v>
      </c>
      <c r="B19" s="15">
        <f>7</f>
        <v>7</v>
      </c>
      <c r="C19" s="15">
        <f>6+1</f>
        <v>7</v>
      </c>
      <c r="D19" s="15">
        <f>5+1+1</f>
        <v>7</v>
      </c>
      <c r="E19" s="15">
        <f>8+1</f>
        <v>9</v>
      </c>
      <c r="F19" s="15">
        <f>6+1</f>
        <v>7</v>
      </c>
      <c r="G19" s="15">
        <f t="shared" ref="G19:H19" si="37">3+1</f>
        <v>4</v>
      </c>
      <c r="H19" s="15">
        <f t="shared" si="37"/>
        <v>4</v>
      </c>
      <c r="I19" s="15">
        <f>2+1</f>
        <v>3</v>
      </c>
      <c r="J19" s="21">
        <f>0+1+3</f>
        <v>4</v>
      </c>
      <c r="K19" s="22">
        <f>5+1+1</f>
        <v>7</v>
      </c>
      <c r="L19" s="19">
        <f>4</f>
        <v>4</v>
      </c>
      <c r="M19" s="19">
        <f>11</f>
        <v>11</v>
      </c>
      <c r="N19" s="19">
        <f>6+1</f>
        <v>7</v>
      </c>
      <c r="O19" s="19">
        <f>4+1</f>
        <v>5</v>
      </c>
      <c r="P19" s="19">
        <f t="shared" ref="P19:Q19" si="38">3+1</f>
        <v>4</v>
      </c>
      <c r="Q19" s="19">
        <f t="shared" si="38"/>
        <v>4</v>
      </c>
      <c r="R19" s="19">
        <f t="shared" ref="R19:S19" si="39">1+1</f>
        <v>2</v>
      </c>
      <c r="S19" s="19">
        <f t="shared" si="39"/>
        <v>2</v>
      </c>
      <c r="T19" s="20">
        <f t="shared" si="2"/>
        <v>98</v>
      </c>
    </row>
    <row r="20">
      <c r="A20" s="14" t="s">
        <v>29</v>
      </c>
      <c r="B20" s="15">
        <f>2+2</f>
        <v>4</v>
      </c>
      <c r="C20" s="15">
        <f>4</f>
        <v>4</v>
      </c>
      <c r="D20" s="15">
        <f>1+1</f>
        <v>2</v>
      </c>
      <c r="E20" s="15">
        <f>4+1</f>
        <v>5</v>
      </c>
      <c r="F20" s="15">
        <f t="shared" ref="F20:J20" si="40">2+1</f>
        <v>3</v>
      </c>
      <c r="G20" s="15">
        <f t="shared" si="40"/>
        <v>3</v>
      </c>
      <c r="H20" s="15">
        <f t="shared" si="40"/>
        <v>3</v>
      </c>
      <c r="I20" s="15">
        <f t="shared" si="40"/>
        <v>3</v>
      </c>
      <c r="J20" s="21">
        <f t="shared" si="40"/>
        <v>3</v>
      </c>
      <c r="K20" s="22">
        <f>5-1+1</f>
        <v>5</v>
      </c>
      <c r="L20" s="19">
        <f>3</f>
        <v>3</v>
      </c>
      <c r="M20" s="19">
        <f>3+1-1+1+1</f>
        <v>5</v>
      </c>
      <c r="N20" s="19">
        <f>2</f>
        <v>2</v>
      </c>
      <c r="O20" s="19">
        <f>2+1</f>
        <v>3</v>
      </c>
      <c r="P20" s="19">
        <f>6+1</f>
        <v>7</v>
      </c>
      <c r="Q20" s="19">
        <f>3</f>
        <v>3</v>
      </c>
      <c r="R20" s="19">
        <f>5+5</f>
        <v>10</v>
      </c>
      <c r="S20" s="19">
        <f>3+1</f>
        <v>4</v>
      </c>
      <c r="T20" s="20">
        <f t="shared" si="2"/>
        <v>72</v>
      </c>
    </row>
    <row r="21">
      <c r="A21" s="14" t="s">
        <v>30</v>
      </c>
      <c r="B21" s="15">
        <f>4+1</f>
        <v>5</v>
      </c>
      <c r="C21" s="15">
        <f t="shared" ref="C21:D21" si="41">5</f>
        <v>5</v>
      </c>
      <c r="D21" s="15">
        <f t="shared" si="41"/>
        <v>5</v>
      </c>
      <c r="E21" s="15">
        <f>3+1</f>
        <v>4</v>
      </c>
      <c r="F21" s="15">
        <f t="shared" ref="F21:G21" si="42">4</f>
        <v>4</v>
      </c>
      <c r="G21" s="15">
        <f t="shared" si="42"/>
        <v>4</v>
      </c>
      <c r="H21" s="15">
        <f>2+1</f>
        <v>3</v>
      </c>
      <c r="I21" s="15">
        <f>1+1</f>
        <v>2</v>
      </c>
      <c r="J21" s="21">
        <f>2+1</f>
        <v>3</v>
      </c>
      <c r="K21" s="22">
        <f>5+1</f>
        <v>6</v>
      </c>
      <c r="L21" s="19">
        <f t="shared" ref="L21:L22" si="46">5</f>
        <v>5</v>
      </c>
      <c r="M21" s="19">
        <f t="shared" ref="M21:M22" si="47">6</f>
        <v>6</v>
      </c>
      <c r="N21" s="19">
        <f>3+1</f>
        <v>4</v>
      </c>
      <c r="O21" s="19">
        <f>4</f>
        <v>4</v>
      </c>
      <c r="P21" s="19">
        <f>1+1</f>
        <v>2</v>
      </c>
      <c r="Q21" s="19">
        <f t="shared" ref="Q21:Q22" si="49">2+1</f>
        <v>3</v>
      </c>
      <c r="R21" s="19">
        <f t="shared" ref="R21:S21" si="43">1+1</f>
        <v>2</v>
      </c>
      <c r="S21" s="19">
        <f t="shared" si="43"/>
        <v>2</v>
      </c>
      <c r="T21" s="20">
        <f t="shared" si="2"/>
        <v>69</v>
      </c>
    </row>
    <row r="22">
      <c r="A22" s="14" t="s">
        <v>31</v>
      </c>
      <c r="B22" s="26">
        <f>2+1</f>
        <v>3</v>
      </c>
      <c r="C22" s="15">
        <f>2+1+3</f>
        <v>6</v>
      </c>
      <c r="D22" s="15">
        <f>2+2</f>
        <v>4</v>
      </c>
      <c r="E22" s="15">
        <f>3+3</f>
        <v>6</v>
      </c>
      <c r="F22" s="15">
        <f t="shared" ref="F22:G22" si="44">3+1</f>
        <v>4</v>
      </c>
      <c r="G22" s="15">
        <f t="shared" si="44"/>
        <v>4</v>
      </c>
      <c r="H22" s="15">
        <f t="shared" ref="H22:J22" si="45">1+1</f>
        <v>2</v>
      </c>
      <c r="I22" s="15">
        <f t="shared" si="45"/>
        <v>2</v>
      </c>
      <c r="J22" s="21">
        <f t="shared" si="45"/>
        <v>2</v>
      </c>
      <c r="K22" s="22">
        <f>4+1</f>
        <v>5</v>
      </c>
      <c r="L22" s="19">
        <f t="shared" si="46"/>
        <v>5</v>
      </c>
      <c r="M22" s="19">
        <f t="shared" si="47"/>
        <v>6</v>
      </c>
      <c r="N22" s="19">
        <f>4</f>
        <v>4</v>
      </c>
      <c r="O22" s="19">
        <f t="shared" ref="O22:P22" si="48">3</f>
        <v>3</v>
      </c>
      <c r="P22" s="19">
        <f t="shared" si="48"/>
        <v>3</v>
      </c>
      <c r="Q22" s="19">
        <f t="shared" si="49"/>
        <v>3</v>
      </c>
      <c r="R22" s="19">
        <f t="shared" ref="R22:S22" si="50">2+1</f>
        <v>3</v>
      </c>
      <c r="S22" s="19">
        <f t="shared" si="50"/>
        <v>3</v>
      </c>
      <c r="T22" s="20">
        <f t="shared" si="2"/>
        <v>68</v>
      </c>
    </row>
    <row r="23">
      <c r="A23" s="14" t="s">
        <v>32</v>
      </c>
      <c r="B23" s="15">
        <f>4+1</f>
        <v>5</v>
      </c>
      <c r="C23" s="15">
        <f>7+1</f>
        <v>8</v>
      </c>
      <c r="D23" s="15">
        <f>9</f>
        <v>9</v>
      </c>
      <c r="E23" s="15">
        <f>17-1+1</f>
        <v>17</v>
      </c>
      <c r="F23" s="15">
        <f>8</f>
        <v>8</v>
      </c>
      <c r="G23" s="15">
        <f>3+1</f>
        <v>4</v>
      </c>
      <c r="H23" s="15">
        <f>3</f>
        <v>3</v>
      </c>
      <c r="I23" s="15">
        <f>2+1</f>
        <v>3</v>
      </c>
      <c r="J23" s="21">
        <f>1+1</f>
        <v>2</v>
      </c>
      <c r="K23" s="22">
        <f>5+1</f>
        <v>6</v>
      </c>
      <c r="L23" s="19">
        <f>6+1</f>
        <v>7</v>
      </c>
      <c r="M23" s="19">
        <f>11-1+1-1+1+1</f>
        <v>12</v>
      </c>
      <c r="N23" s="19">
        <f>12+1</f>
        <v>13</v>
      </c>
      <c r="O23" s="19">
        <f>9+1</f>
        <v>10</v>
      </c>
      <c r="P23" s="19">
        <f t="shared" ref="P23:Q23" si="51">3+1</f>
        <v>4</v>
      </c>
      <c r="Q23" s="19">
        <f t="shared" si="51"/>
        <v>4</v>
      </c>
      <c r="R23" s="19">
        <f t="shared" ref="R23:S23" si="52">2+1</f>
        <v>3</v>
      </c>
      <c r="S23" s="19">
        <f t="shared" si="52"/>
        <v>3</v>
      </c>
      <c r="T23" s="20">
        <f t="shared" si="2"/>
        <v>121</v>
      </c>
    </row>
    <row r="24">
      <c r="A24" s="27" t="s">
        <v>33</v>
      </c>
      <c r="B24" s="15">
        <f t="shared" ref="B24:D24" si="53">2+1</f>
        <v>3</v>
      </c>
      <c r="C24" s="15">
        <f t="shared" si="53"/>
        <v>3</v>
      </c>
      <c r="D24" s="15">
        <f t="shared" si="53"/>
        <v>3</v>
      </c>
      <c r="E24" s="15">
        <f>1+1+3</f>
        <v>5</v>
      </c>
      <c r="F24" s="15">
        <f t="shared" ref="F24:J24" si="54">1+1</f>
        <v>2</v>
      </c>
      <c r="G24" s="15">
        <f t="shared" si="54"/>
        <v>2</v>
      </c>
      <c r="H24" s="15">
        <f t="shared" si="54"/>
        <v>2</v>
      </c>
      <c r="I24" s="15">
        <f t="shared" si="54"/>
        <v>2</v>
      </c>
      <c r="J24" s="21">
        <f t="shared" si="54"/>
        <v>2</v>
      </c>
      <c r="K24" s="22">
        <f>5</f>
        <v>5</v>
      </c>
      <c r="L24" s="19">
        <f>4</f>
        <v>4</v>
      </c>
      <c r="M24" s="19">
        <f t="shared" ref="M24:N24" si="55">3</f>
        <v>3</v>
      </c>
      <c r="N24" s="19">
        <f t="shared" si="55"/>
        <v>3</v>
      </c>
      <c r="O24" s="19">
        <f t="shared" ref="O24:P24" si="56">2+1</f>
        <v>3</v>
      </c>
      <c r="P24" s="19">
        <f t="shared" si="56"/>
        <v>3</v>
      </c>
      <c r="Q24" s="19">
        <f>1+1</f>
        <v>2</v>
      </c>
      <c r="R24" s="19">
        <f t="shared" ref="R24:S24" si="57">2+1</f>
        <v>3</v>
      </c>
      <c r="S24" s="19">
        <f t="shared" si="57"/>
        <v>3</v>
      </c>
      <c r="T24" s="20">
        <f t="shared" si="2"/>
        <v>53</v>
      </c>
    </row>
    <row r="25">
      <c r="A25" s="28" t="s">
        <v>34</v>
      </c>
      <c r="B25" s="15">
        <f t="shared" ref="B25:E25" si="58">3+1</f>
        <v>4</v>
      </c>
      <c r="C25" s="15">
        <f t="shared" si="58"/>
        <v>4</v>
      </c>
      <c r="D25" s="15">
        <f t="shared" si="58"/>
        <v>4</v>
      </c>
      <c r="E25" s="15">
        <f t="shared" si="58"/>
        <v>4</v>
      </c>
      <c r="F25" s="15">
        <f>4</f>
        <v>4</v>
      </c>
      <c r="G25" s="15">
        <f t="shared" ref="G25:L25" si="59">1+1</f>
        <v>2</v>
      </c>
      <c r="H25" s="15">
        <f t="shared" si="59"/>
        <v>2</v>
      </c>
      <c r="I25" s="15">
        <f t="shared" si="59"/>
        <v>2</v>
      </c>
      <c r="J25" s="21">
        <f t="shared" si="59"/>
        <v>2</v>
      </c>
      <c r="K25" s="22">
        <f t="shared" si="59"/>
        <v>2</v>
      </c>
      <c r="L25" s="19">
        <f t="shared" si="59"/>
        <v>2</v>
      </c>
      <c r="M25" s="19">
        <f>1+1-2+2+5-1+1</f>
        <v>7</v>
      </c>
      <c r="N25" s="19">
        <f>2-2+2+5-1</f>
        <v>6</v>
      </c>
      <c r="O25" s="19">
        <f>1+1</f>
        <v>2</v>
      </c>
      <c r="P25" s="19">
        <f>0+2</f>
        <v>2</v>
      </c>
      <c r="Q25" s="19">
        <f>0+1+5</f>
        <v>6</v>
      </c>
      <c r="R25" s="19">
        <f>1+1</f>
        <v>2</v>
      </c>
      <c r="S25" s="19">
        <f>0+1+1+1</f>
        <v>3</v>
      </c>
      <c r="T25" s="20">
        <f t="shared" si="2"/>
        <v>60</v>
      </c>
    </row>
    <row r="26">
      <c r="A26" s="28" t="s">
        <v>35</v>
      </c>
      <c r="B26" s="26">
        <f t="shared" ref="B26:B27" si="63">3+1</f>
        <v>4</v>
      </c>
      <c r="C26" s="15">
        <f>2+1</f>
        <v>3</v>
      </c>
      <c r="D26" s="15">
        <f>1+3</f>
        <v>4</v>
      </c>
      <c r="E26" s="15">
        <f>3+1</f>
        <v>4</v>
      </c>
      <c r="F26" s="15">
        <f t="shared" ref="F26:H26" si="60">2+1</f>
        <v>3</v>
      </c>
      <c r="G26" s="15">
        <f t="shared" si="60"/>
        <v>3</v>
      </c>
      <c r="H26" s="15">
        <f t="shared" si="60"/>
        <v>3</v>
      </c>
      <c r="I26" s="15">
        <f t="shared" ref="I26:J26" si="61">1+1</f>
        <v>2</v>
      </c>
      <c r="J26" s="21">
        <f t="shared" si="61"/>
        <v>2</v>
      </c>
      <c r="K26" s="22">
        <f t="shared" ref="K26:L26" si="62">4</f>
        <v>4</v>
      </c>
      <c r="L26" s="19">
        <f t="shared" si="62"/>
        <v>4</v>
      </c>
      <c r="M26" s="19">
        <f>6+3</f>
        <v>9</v>
      </c>
      <c r="N26" s="19">
        <f>7+1</f>
        <v>8</v>
      </c>
      <c r="O26" s="19">
        <f t="shared" ref="O26:O27" si="65">5+1</f>
        <v>6</v>
      </c>
      <c r="P26" s="19">
        <f>3+1</f>
        <v>4</v>
      </c>
      <c r="Q26" s="19">
        <f>2+1+3</f>
        <v>6</v>
      </c>
      <c r="R26" s="19">
        <f>2</f>
        <v>2</v>
      </c>
      <c r="S26" s="19">
        <f>1+1</f>
        <v>2</v>
      </c>
      <c r="T26" s="20">
        <f t="shared" si="2"/>
        <v>73</v>
      </c>
    </row>
    <row r="27">
      <c r="A27" s="28" t="s">
        <v>36</v>
      </c>
      <c r="B27" s="15">
        <f t="shared" si="63"/>
        <v>4</v>
      </c>
      <c r="C27" s="15">
        <f>5</f>
        <v>5</v>
      </c>
      <c r="D27" s="15">
        <f>4+1</f>
        <v>5</v>
      </c>
      <c r="E27" s="15">
        <f>5+1</f>
        <v>6</v>
      </c>
      <c r="F27" s="15">
        <f t="shared" ref="F27:F28" si="67">3+1</f>
        <v>4</v>
      </c>
      <c r="G27" s="15">
        <f>2+1</f>
        <v>3</v>
      </c>
      <c r="H27" s="15">
        <f t="shared" ref="H27:I27" si="64">1+1</f>
        <v>2</v>
      </c>
      <c r="I27" s="15">
        <f t="shared" si="64"/>
        <v>2</v>
      </c>
      <c r="J27" s="21">
        <f>0+1+1+3</f>
        <v>5</v>
      </c>
      <c r="K27" s="22">
        <f t="shared" ref="K27:K28" si="69">5</f>
        <v>5</v>
      </c>
      <c r="L27" s="19">
        <f>3+1</f>
        <v>4</v>
      </c>
      <c r="M27" s="19">
        <f>9+1</f>
        <v>10</v>
      </c>
      <c r="N27" s="19">
        <f>0+1+5+3</f>
        <v>9</v>
      </c>
      <c r="O27" s="19">
        <f t="shared" si="65"/>
        <v>6</v>
      </c>
      <c r="P27" s="19">
        <f>2+2</f>
        <v>4</v>
      </c>
      <c r="Q27" s="19">
        <f>1+1</f>
        <v>2</v>
      </c>
      <c r="R27" s="19">
        <f>2+1</f>
        <v>3</v>
      </c>
      <c r="S27" s="19">
        <f>0+1+1</f>
        <v>2</v>
      </c>
      <c r="T27" s="20">
        <f t="shared" si="2"/>
        <v>81</v>
      </c>
    </row>
    <row r="28">
      <c r="A28" s="28" t="s">
        <v>37</v>
      </c>
      <c r="B28" s="15">
        <f t="shared" ref="B28:C28" si="66">3</f>
        <v>3</v>
      </c>
      <c r="C28" s="15">
        <f t="shared" si="66"/>
        <v>3</v>
      </c>
      <c r="D28" s="15">
        <f>4</f>
        <v>4</v>
      </c>
      <c r="E28" s="15">
        <f>5</f>
        <v>5</v>
      </c>
      <c r="F28" s="15">
        <f t="shared" si="67"/>
        <v>4</v>
      </c>
      <c r="G28" s="15">
        <f>3+1</f>
        <v>4</v>
      </c>
      <c r="H28" s="15">
        <f>1+1</f>
        <v>2</v>
      </c>
      <c r="I28" s="15">
        <f t="shared" ref="I28:J28" si="68">2+1</f>
        <v>3</v>
      </c>
      <c r="J28" s="21">
        <f t="shared" si="68"/>
        <v>3</v>
      </c>
      <c r="K28" s="22">
        <f t="shared" si="69"/>
        <v>5</v>
      </c>
      <c r="L28" s="19">
        <f t="shared" ref="L28:N28" si="70">8</f>
        <v>8</v>
      </c>
      <c r="M28" s="19">
        <f t="shared" si="70"/>
        <v>8</v>
      </c>
      <c r="N28" s="19">
        <f t="shared" si="70"/>
        <v>8</v>
      </c>
      <c r="O28" s="19">
        <f>4+1</f>
        <v>5</v>
      </c>
      <c r="P28" s="19">
        <f t="shared" ref="P28:Q28" si="71">3+1</f>
        <v>4</v>
      </c>
      <c r="Q28" s="19">
        <f t="shared" si="71"/>
        <v>4</v>
      </c>
      <c r="R28" s="19">
        <f t="shared" ref="R28:S28" si="72">1+1</f>
        <v>2</v>
      </c>
      <c r="S28" s="19">
        <f t="shared" si="72"/>
        <v>2</v>
      </c>
      <c r="T28" s="20">
        <f t="shared" si="2"/>
        <v>77</v>
      </c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3122</v>
      </c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</row>
    <row r="37">
      <c r="A37" s="47" t="s">
        <v>13</v>
      </c>
      <c r="B37" s="48">
        <f>0+6</f>
        <v>6</v>
      </c>
      <c r="C37" s="48">
        <f>0+7-1+1</f>
        <v>7</v>
      </c>
      <c r="D37" s="48">
        <f>0+4</f>
        <v>4</v>
      </c>
      <c r="E37" s="48">
        <f>0+5+1</f>
        <v>6</v>
      </c>
      <c r="F37" s="48">
        <f>0+8+1</f>
        <v>9</v>
      </c>
      <c r="G37" s="48">
        <f>0+8</f>
        <v>8</v>
      </c>
      <c r="H37" s="48">
        <f t="shared" ref="H37:J37" si="73">0+3</f>
        <v>3</v>
      </c>
      <c r="I37" s="48">
        <f t="shared" si="73"/>
        <v>3</v>
      </c>
      <c r="J37" s="48">
        <f t="shared" si="73"/>
        <v>3</v>
      </c>
      <c r="K37" s="49">
        <f>0+6+1</f>
        <v>7</v>
      </c>
      <c r="L37" s="49">
        <f>0+6</f>
        <v>6</v>
      </c>
      <c r="M37" s="49">
        <f>0+4+1</f>
        <v>5</v>
      </c>
      <c r="N37" s="49">
        <f>0+7</f>
        <v>7</v>
      </c>
      <c r="O37" s="49">
        <f>0+3</f>
        <v>3</v>
      </c>
      <c r="P37" s="49">
        <f>0+5</f>
        <v>5</v>
      </c>
      <c r="Q37" s="49">
        <f t="shared" ref="Q37:R37" si="74">0+4</f>
        <v>4</v>
      </c>
      <c r="R37" s="49">
        <f t="shared" si="74"/>
        <v>4</v>
      </c>
      <c r="S37" s="49">
        <f>0+3+1</f>
        <v>4</v>
      </c>
      <c r="T37" s="50">
        <f t="shared" ref="T37:T43" si="77">SUM(B37:S37)</f>
        <v>94</v>
      </c>
    </row>
    <row r="38">
      <c r="A38" s="47" t="s">
        <v>14</v>
      </c>
      <c r="B38" s="48">
        <f>0+7</f>
        <v>7</v>
      </c>
      <c r="C38" s="48">
        <f t="shared" ref="C38:C39" si="78">0+4</f>
        <v>4</v>
      </c>
      <c r="D38" s="48">
        <f>0+2+5+1</f>
        <v>8</v>
      </c>
      <c r="E38" s="48">
        <f>0+9</f>
        <v>9</v>
      </c>
      <c r="F38" s="48">
        <f>0+2</f>
        <v>2</v>
      </c>
      <c r="G38" s="48">
        <f>0+1+1</f>
        <v>2</v>
      </c>
      <c r="H38" s="48">
        <f>0+2</f>
        <v>2</v>
      </c>
      <c r="I38" s="48">
        <f>0+1</f>
        <v>1</v>
      </c>
      <c r="J38" s="48">
        <f>0+2</f>
        <v>2</v>
      </c>
      <c r="K38" s="49">
        <f t="shared" ref="K38:L38" si="75">0+6</f>
        <v>6</v>
      </c>
      <c r="L38" s="49">
        <f t="shared" si="75"/>
        <v>6</v>
      </c>
      <c r="M38" s="49">
        <f>0+10+1</f>
        <v>11</v>
      </c>
      <c r="N38" s="49">
        <f t="shared" ref="N38:O38" si="76">0+1+5</f>
        <v>6</v>
      </c>
      <c r="O38" s="49">
        <f t="shared" si="76"/>
        <v>6</v>
      </c>
      <c r="P38" s="49">
        <f>0+4</f>
        <v>4</v>
      </c>
      <c r="Q38" s="49">
        <f>0+5</f>
        <v>5</v>
      </c>
      <c r="R38" s="49">
        <f>0+4</f>
        <v>4</v>
      </c>
      <c r="S38" s="49">
        <f>0+3</f>
        <v>3</v>
      </c>
      <c r="T38" s="51">
        <f t="shared" si="77"/>
        <v>88</v>
      </c>
    </row>
    <row r="39">
      <c r="A39" s="47" t="s">
        <v>39</v>
      </c>
      <c r="B39" s="48">
        <f>0+2</f>
        <v>2</v>
      </c>
      <c r="C39" s="48">
        <f t="shared" si="78"/>
        <v>4</v>
      </c>
      <c r="D39" s="48">
        <f>0+2+1+1</f>
        <v>4</v>
      </c>
      <c r="E39" s="48">
        <f>0+6</f>
        <v>6</v>
      </c>
      <c r="F39" s="48">
        <f t="shared" ref="F39:J39" si="79">0+3</f>
        <v>3</v>
      </c>
      <c r="G39" s="48">
        <f t="shared" si="79"/>
        <v>3</v>
      </c>
      <c r="H39" s="48">
        <f t="shared" si="79"/>
        <v>3</v>
      </c>
      <c r="I39" s="48">
        <f t="shared" si="79"/>
        <v>3</v>
      </c>
      <c r="J39" s="48">
        <f t="shared" si="79"/>
        <v>3</v>
      </c>
      <c r="K39" s="49">
        <f>0+4</f>
        <v>4</v>
      </c>
      <c r="L39" s="49">
        <f>0+7</f>
        <v>7</v>
      </c>
      <c r="M39" s="49">
        <f>0+4</f>
        <v>4</v>
      </c>
      <c r="N39" s="49">
        <f>0+6</f>
        <v>6</v>
      </c>
      <c r="O39" s="49">
        <f t="shared" ref="O39:S39" si="80">0+4</f>
        <v>4</v>
      </c>
      <c r="P39" s="49">
        <f t="shared" si="80"/>
        <v>4</v>
      </c>
      <c r="Q39" s="49">
        <f t="shared" si="80"/>
        <v>4</v>
      </c>
      <c r="R39" s="49">
        <f t="shared" si="80"/>
        <v>4</v>
      </c>
      <c r="S39" s="49">
        <f t="shared" si="80"/>
        <v>4</v>
      </c>
      <c r="T39" s="50">
        <f t="shared" si="77"/>
        <v>72</v>
      </c>
    </row>
    <row r="40">
      <c r="A40" s="47" t="s">
        <v>19</v>
      </c>
      <c r="B40" s="48">
        <f t="shared" ref="B40:C40" si="81">0+3</f>
        <v>3</v>
      </c>
      <c r="C40" s="48">
        <f t="shared" si="81"/>
        <v>3</v>
      </c>
      <c r="D40" s="48">
        <f t="shared" ref="D40:E40" si="82">0+3+1</f>
        <v>4</v>
      </c>
      <c r="E40" s="48">
        <f t="shared" si="82"/>
        <v>4</v>
      </c>
      <c r="F40" s="48">
        <f>0+3</f>
        <v>3</v>
      </c>
      <c r="G40" s="48">
        <f t="shared" ref="G40:I40" si="83">0+4+2</f>
        <v>6</v>
      </c>
      <c r="H40" s="48">
        <f t="shared" si="83"/>
        <v>6</v>
      </c>
      <c r="I40" s="48">
        <f t="shared" si="83"/>
        <v>6</v>
      </c>
      <c r="J40" s="48">
        <f>0+4+1</f>
        <v>5</v>
      </c>
      <c r="K40" s="49">
        <f>0+3</f>
        <v>3</v>
      </c>
      <c r="L40" s="49">
        <f t="shared" ref="L40:O40" si="84">0+6</f>
        <v>6</v>
      </c>
      <c r="M40" s="49">
        <f t="shared" si="84"/>
        <v>6</v>
      </c>
      <c r="N40" s="49">
        <f t="shared" si="84"/>
        <v>6</v>
      </c>
      <c r="O40" s="49">
        <f t="shared" si="84"/>
        <v>6</v>
      </c>
      <c r="P40" s="49">
        <f t="shared" ref="P40:S40" si="85">0+3</f>
        <v>3</v>
      </c>
      <c r="Q40" s="49">
        <f t="shared" si="85"/>
        <v>3</v>
      </c>
      <c r="R40" s="49">
        <f t="shared" si="85"/>
        <v>3</v>
      </c>
      <c r="S40" s="49">
        <f t="shared" si="85"/>
        <v>3</v>
      </c>
      <c r="T40" s="50">
        <f t="shared" si="77"/>
        <v>79</v>
      </c>
    </row>
    <row r="41">
      <c r="A41" s="47" t="s">
        <v>16</v>
      </c>
      <c r="B41" s="48">
        <f t="shared" ref="B41:C41" si="86">0+4</f>
        <v>4</v>
      </c>
      <c r="C41" s="48">
        <f t="shared" si="86"/>
        <v>4</v>
      </c>
      <c r="D41" s="48">
        <f t="shared" ref="D41:D42" si="91">0+2</f>
        <v>2</v>
      </c>
      <c r="E41" s="48">
        <f>0+2+1+1</f>
        <v>4</v>
      </c>
      <c r="F41" s="48">
        <f>0+5</f>
        <v>5</v>
      </c>
      <c r="G41" s="48">
        <f>0+4</f>
        <v>4</v>
      </c>
      <c r="H41" s="48">
        <f t="shared" ref="H41:J41" si="87">0+2</f>
        <v>2</v>
      </c>
      <c r="I41" s="48">
        <f t="shared" si="87"/>
        <v>2</v>
      </c>
      <c r="J41" s="48">
        <f t="shared" si="87"/>
        <v>2</v>
      </c>
      <c r="K41" s="49">
        <f t="shared" ref="K41:L41" si="88">0+5</f>
        <v>5</v>
      </c>
      <c r="L41" s="49">
        <f t="shared" si="88"/>
        <v>5</v>
      </c>
      <c r="M41" s="49">
        <f>0+6</f>
        <v>6</v>
      </c>
      <c r="N41" s="49">
        <f t="shared" ref="N41:Q41" si="89">0+4</f>
        <v>4</v>
      </c>
      <c r="O41" s="49">
        <f t="shared" si="89"/>
        <v>4</v>
      </c>
      <c r="P41" s="49">
        <f t="shared" si="89"/>
        <v>4</v>
      </c>
      <c r="Q41" s="49">
        <f t="shared" si="89"/>
        <v>4</v>
      </c>
      <c r="R41" s="49">
        <f t="shared" ref="R41:S41" si="90">0+2</f>
        <v>2</v>
      </c>
      <c r="S41" s="49">
        <f t="shared" si="90"/>
        <v>2</v>
      </c>
      <c r="T41" s="50">
        <f t="shared" si="77"/>
        <v>65</v>
      </c>
    </row>
    <row r="42">
      <c r="A42" s="47" t="s">
        <v>40</v>
      </c>
      <c r="B42" s="48">
        <f>0+3</f>
        <v>3</v>
      </c>
      <c r="C42" s="48">
        <f>0+2+1</f>
        <v>3</v>
      </c>
      <c r="D42" s="48">
        <f t="shared" si="91"/>
        <v>2</v>
      </c>
      <c r="E42" s="48">
        <f>0+4</f>
        <v>4</v>
      </c>
      <c r="F42" s="48">
        <f t="shared" ref="F42:G42" si="92">0+3</f>
        <v>3</v>
      </c>
      <c r="G42" s="48">
        <f t="shared" si="92"/>
        <v>3</v>
      </c>
      <c r="H42" s="48">
        <f t="shared" ref="H42:H43" si="96">0+2</f>
        <v>2</v>
      </c>
      <c r="I42" s="48">
        <f>0+2+1</f>
        <v>3</v>
      </c>
      <c r="J42" s="48">
        <f>0+2</f>
        <v>2</v>
      </c>
      <c r="K42" s="49">
        <f t="shared" ref="K42:L42" si="93">0+3</f>
        <v>3</v>
      </c>
      <c r="L42" s="49">
        <f t="shared" si="93"/>
        <v>3</v>
      </c>
      <c r="M42" s="49">
        <f>0+2+1</f>
        <v>3</v>
      </c>
      <c r="N42" s="49">
        <f>0+7</f>
        <v>7</v>
      </c>
      <c r="O42" s="49">
        <f>0+1+5</f>
        <v>6</v>
      </c>
      <c r="P42" s="49">
        <f t="shared" ref="P42:Q42" si="94">0+2</f>
        <v>2</v>
      </c>
      <c r="Q42" s="49">
        <f t="shared" si="94"/>
        <v>2</v>
      </c>
      <c r="R42" s="49">
        <f>0+6</f>
        <v>6</v>
      </c>
      <c r="S42" s="49">
        <f>0+2</f>
        <v>2</v>
      </c>
      <c r="T42" s="50">
        <f t="shared" si="77"/>
        <v>59</v>
      </c>
    </row>
    <row r="43">
      <c r="A43" s="47" t="s">
        <v>41</v>
      </c>
      <c r="B43" s="48">
        <f>0+4</f>
        <v>4</v>
      </c>
      <c r="C43" s="48">
        <f>0+2</f>
        <v>2</v>
      </c>
      <c r="D43" s="48">
        <f t="shared" ref="D43:E43" si="95">0+4</f>
        <v>4</v>
      </c>
      <c r="E43" s="48">
        <f t="shared" si="95"/>
        <v>4</v>
      </c>
      <c r="F43" s="48">
        <f>0+3</f>
        <v>3</v>
      </c>
      <c r="G43" s="48">
        <f>0+5</f>
        <v>5</v>
      </c>
      <c r="H43" s="48">
        <f t="shared" si="96"/>
        <v>2</v>
      </c>
      <c r="I43" s="48">
        <f t="shared" ref="I43:J43" si="97">0+2</f>
        <v>2</v>
      </c>
      <c r="J43" s="48">
        <f t="shared" si="97"/>
        <v>2</v>
      </c>
      <c r="K43" s="49">
        <f>0+3</f>
        <v>3</v>
      </c>
      <c r="L43" s="49">
        <f t="shared" ref="L43:S43" si="98">0+4</f>
        <v>4</v>
      </c>
      <c r="M43" s="49">
        <f t="shared" si="98"/>
        <v>4</v>
      </c>
      <c r="N43" s="49">
        <f t="shared" si="98"/>
        <v>4</v>
      </c>
      <c r="O43" s="49">
        <f t="shared" si="98"/>
        <v>4</v>
      </c>
      <c r="P43" s="49">
        <f t="shared" si="98"/>
        <v>4</v>
      </c>
      <c r="Q43" s="49">
        <f t="shared" si="98"/>
        <v>4</v>
      </c>
      <c r="R43" s="49">
        <f t="shared" si="98"/>
        <v>4</v>
      </c>
      <c r="S43" s="49">
        <f t="shared" si="98"/>
        <v>4</v>
      </c>
      <c r="T43" s="50">
        <f t="shared" si="77"/>
        <v>63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520</v>
      </c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54"/>
      <c r="L49" s="54"/>
      <c r="M49" s="54"/>
      <c r="N49" s="54"/>
      <c r="O49" s="54"/>
      <c r="P49" s="54"/>
      <c r="Q49" s="54"/>
      <c r="R49" s="54"/>
      <c r="S49" s="54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</row>
    <row r="52">
      <c r="A52" s="47" t="s">
        <v>13</v>
      </c>
      <c r="B52" s="63">
        <f t="shared" ref="B52:D52" si="99">0+2</f>
        <v>2</v>
      </c>
      <c r="C52" s="63">
        <f t="shared" si="99"/>
        <v>2</v>
      </c>
      <c r="D52" s="63">
        <f t="shared" si="99"/>
        <v>2</v>
      </c>
      <c r="E52" s="63">
        <f>0+1</f>
        <v>1</v>
      </c>
      <c r="F52" s="63">
        <f t="shared" ref="F52:J52" si="100">0+2</f>
        <v>2</v>
      </c>
      <c r="G52" s="63">
        <f t="shared" si="100"/>
        <v>2</v>
      </c>
      <c r="H52" s="63">
        <f t="shared" si="100"/>
        <v>2</v>
      </c>
      <c r="I52" s="63">
        <f t="shared" si="100"/>
        <v>2</v>
      </c>
      <c r="J52" s="63">
        <f t="shared" si="100"/>
        <v>2</v>
      </c>
      <c r="K52" s="64">
        <f t="shared" ref="K52:K57" si="103">SUM(B52:J52)</f>
        <v>17</v>
      </c>
      <c r="L52" s="31"/>
      <c r="M52" s="31"/>
      <c r="N52" s="31"/>
      <c r="O52" s="31"/>
      <c r="P52" s="31"/>
      <c r="Q52" s="31"/>
      <c r="R52" s="31"/>
      <c r="S52" s="31"/>
    </row>
    <row r="53">
      <c r="A53" s="47" t="s">
        <v>14</v>
      </c>
      <c r="B53" s="63">
        <f>0+2</f>
        <v>2</v>
      </c>
      <c r="C53" s="63">
        <f t="shared" ref="C53:C54" si="104">0+1</f>
        <v>1</v>
      </c>
      <c r="D53" s="63">
        <f t="shared" ref="D53:F53" si="101">0+2</f>
        <v>2</v>
      </c>
      <c r="E53" s="63">
        <f t="shared" si="101"/>
        <v>2</v>
      </c>
      <c r="F53" s="63">
        <f t="shared" si="101"/>
        <v>2</v>
      </c>
      <c r="G53" s="63">
        <f>0+1</f>
        <v>1</v>
      </c>
      <c r="H53" s="63">
        <f>0+2</f>
        <v>2</v>
      </c>
      <c r="I53" s="63">
        <f t="shared" ref="I53:J53" si="102">0+1</f>
        <v>1</v>
      </c>
      <c r="J53" s="63">
        <f t="shared" si="102"/>
        <v>1</v>
      </c>
      <c r="K53" s="64">
        <f t="shared" si="103"/>
        <v>14</v>
      </c>
      <c r="L53" s="31"/>
      <c r="M53" s="31"/>
      <c r="N53" s="31"/>
      <c r="O53" s="31"/>
      <c r="P53" s="31"/>
      <c r="Q53" s="31"/>
      <c r="R53" s="31"/>
      <c r="S53" s="31"/>
    </row>
    <row r="54">
      <c r="A54" s="47" t="s">
        <v>44</v>
      </c>
      <c r="B54" s="63">
        <f>0+1+1</f>
        <v>2</v>
      </c>
      <c r="C54" s="63">
        <f t="shared" si="104"/>
        <v>1</v>
      </c>
      <c r="D54" s="63">
        <f>0+1+1</f>
        <v>2</v>
      </c>
      <c r="E54" s="63">
        <f t="shared" ref="E54:F54" si="105">0+1</f>
        <v>1</v>
      </c>
      <c r="F54" s="63">
        <f t="shared" si="105"/>
        <v>1</v>
      </c>
      <c r="G54" s="63">
        <f t="shared" ref="G54:J54" si="106">0+2</f>
        <v>2</v>
      </c>
      <c r="H54" s="63">
        <f t="shared" si="106"/>
        <v>2</v>
      </c>
      <c r="I54" s="63">
        <f t="shared" si="106"/>
        <v>2</v>
      </c>
      <c r="J54" s="63">
        <f t="shared" si="106"/>
        <v>2</v>
      </c>
      <c r="K54" s="64">
        <f t="shared" si="103"/>
        <v>15</v>
      </c>
      <c r="L54" s="31"/>
      <c r="M54" s="31"/>
      <c r="N54" s="31"/>
      <c r="O54" s="31"/>
      <c r="P54" s="31"/>
      <c r="Q54" s="31"/>
      <c r="R54" s="31"/>
      <c r="S54" s="31"/>
    </row>
    <row r="55">
      <c r="A55" s="47" t="s">
        <v>16</v>
      </c>
      <c r="B55" s="63">
        <f>0+1</f>
        <v>1</v>
      </c>
      <c r="C55" s="63">
        <f>0+1-1+1+1</f>
        <v>2</v>
      </c>
      <c r="D55" s="63">
        <f t="shared" ref="D55:D56" si="108">0+2</f>
        <v>2</v>
      </c>
      <c r="E55" s="63">
        <f>0+1+1</f>
        <v>2</v>
      </c>
      <c r="F55" s="63">
        <f t="shared" ref="F55:J55" si="107">0+2</f>
        <v>2</v>
      </c>
      <c r="G55" s="63">
        <f t="shared" si="107"/>
        <v>2</v>
      </c>
      <c r="H55" s="63">
        <f t="shared" si="107"/>
        <v>2</v>
      </c>
      <c r="I55" s="63">
        <f t="shared" si="107"/>
        <v>2</v>
      </c>
      <c r="J55" s="63">
        <f t="shared" si="107"/>
        <v>2</v>
      </c>
      <c r="K55" s="64">
        <f t="shared" si="103"/>
        <v>17</v>
      </c>
      <c r="L55" s="31"/>
      <c r="M55" s="31"/>
      <c r="N55" s="31"/>
      <c r="O55" s="31"/>
      <c r="P55" s="31"/>
      <c r="Q55" s="31"/>
      <c r="R55" s="31"/>
      <c r="S55" s="31"/>
    </row>
    <row r="56">
      <c r="A56" s="47" t="s">
        <v>40</v>
      </c>
      <c r="B56" s="63">
        <f>0</f>
        <v>0</v>
      </c>
      <c r="C56" s="63">
        <f>0+1</f>
        <v>1</v>
      </c>
      <c r="D56" s="63">
        <f t="shared" si="108"/>
        <v>2</v>
      </c>
      <c r="E56" s="63">
        <f t="shared" ref="E56:J56" si="109">0+2</f>
        <v>2</v>
      </c>
      <c r="F56" s="63">
        <f t="shared" si="109"/>
        <v>2</v>
      </c>
      <c r="G56" s="63">
        <f t="shared" si="109"/>
        <v>2</v>
      </c>
      <c r="H56" s="63">
        <f t="shared" si="109"/>
        <v>2</v>
      </c>
      <c r="I56" s="63">
        <f t="shared" si="109"/>
        <v>2</v>
      </c>
      <c r="J56" s="63">
        <f t="shared" si="109"/>
        <v>2</v>
      </c>
      <c r="K56" s="64">
        <f t="shared" si="103"/>
        <v>15</v>
      </c>
      <c r="L56" s="31"/>
      <c r="M56" s="31"/>
      <c r="N56" s="31"/>
      <c r="O56" s="31"/>
      <c r="P56" s="31"/>
      <c r="Q56" s="31"/>
      <c r="R56" s="31"/>
      <c r="S56" s="31"/>
    </row>
    <row r="57">
      <c r="A57" s="47" t="s">
        <v>41</v>
      </c>
      <c r="B57" s="63">
        <f>0+1</f>
        <v>1</v>
      </c>
      <c r="C57" s="63">
        <f t="shared" ref="C57:E57" si="110">0+2</f>
        <v>2</v>
      </c>
      <c r="D57" s="63">
        <f t="shared" si="110"/>
        <v>2</v>
      </c>
      <c r="E57" s="63">
        <f t="shared" si="110"/>
        <v>2</v>
      </c>
      <c r="F57" s="63">
        <f t="shared" ref="F57:G57" si="111">0+1</f>
        <v>1</v>
      </c>
      <c r="G57" s="63">
        <f t="shared" si="111"/>
        <v>1</v>
      </c>
      <c r="H57" s="63">
        <f t="shared" ref="H57:J57" si="112">0+2</f>
        <v>2</v>
      </c>
      <c r="I57" s="63">
        <f t="shared" si="112"/>
        <v>2</v>
      </c>
      <c r="J57" s="63">
        <f t="shared" si="112"/>
        <v>2</v>
      </c>
      <c r="K57" s="65">
        <f t="shared" si="103"/>
        <v>15</v>
      </c>
      <c r="L57" s="66"/>
      <c r="M57" s="31"/>
      <c r="N57" s="31"/>
      <c r="O57" s="31"/>
      <c r="P57" s="31"/>
      <c r="Q57" s="31"/>
      <c r="R57" s="31"/>
      <c r="S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93</v>
      </c>
      <c r="L58" s="69"/>
      <c r="M58" s="70"/>
      <c r="N58" s="31"/>
      <c r="O58" s="31"/>
      <c r="P58" s="31"/>
      <c r="Q58" s="31"/>
      <c r="R58" s="31"/>
      <c r="S58" s="31"/>
    </row>
  </sheetData>
  <autoFilter ref="$A$1:$T$29"/>
  <mergeCells count="8">
    <mergeCell ref="B1:S1"/>
    <mergeCell ref="B2:J2"/>
    <mergeCell ref="K2:S2"/>
    <mergeCell ref="B34:S34"/>
    <mergeCell ref="B35:J35"/>
    <mergeCell ref="K35:S35"/>
    <mergeCell ref="A49:J49"/>
    <mergeCell ref="A50:J50"/>
  </mergeCells>
  <conditionalFormatting sqref="B37:S43">
    <cfRule type="cellIs" dxfId="0" priority="1" operator="lessThan">
      <formula>2</formula>
    </cfRule>
  </conditionalFormatting>
  <conditionalFormatting sqref="B4:J28">
    <cfRule type="cellIs" dxfId="0" priority="2" operator="lessThan">
      <formula>2</formula>
    </cfRule>
  </conditionalFormatting>
  <conditionalFormatting sqref="K4:S28">
    <cfRule type="cellIs" dxfId="0" priority="3" operator="less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7.14"/>
    <col customWidth="1" min="3" max="3" width="3.43"/>
    <col customWidth="1" min="4" max="4" width="3.57"/>
    <col customWidth="1" min="5" max="5" width="5.29"/>
    <col customWidth="1" min="6" max="6" width="4.86"/>
    <col customWidth="1" min="7" max="7" width="4.71"/>
    <col customWidth="1" min="8" max="9" width="5.57"/>
    <col customWidth="1" min="10" max="10" width="5.71"/>
    <col customWidth="1" min="11" max="11" width="8.29"/>
    <col customWidth="1" min="12" max="19" width="4.86"/>
    <col customWidth="1" min="20" max="20" width="7.71"/>
    <col customWidth="1" min="21" max="22" width="10.71"/>
    <col customWidth="1" min="23" max="23" width="6.86"/>
    <col customWidth="1" min="24" max="24" width="12.57"/>
    <col customWidth="1" min="25" max="67" width="10.71"/>
  </cols>
  <sheetData>
    <row r="1" ht="17.2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X1" s="74" t="s">
        <v>46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5"/>
      <c r="AQ1" s="75"/>
      <c r="AU1" s="76" t="s">
        <v>47</v>
      </c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</row>
    <row r="2" ht="17.2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X2" s="80"/>
      <c r="AO2" s="81"/>
      <c r="AP2" s="75"/>
      <c r="AQ2" s="75"/>
      <c r="AU2" s="82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9"/>
    </row>
    <row r="3" ht="23.25" customHeight="1">
      <c r="A3" s="83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5"/>
      <c r="AQ3" s="75"/>
      <c r="AU3" s="83" t="s">
        <v>49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84"/>
      <c r="B4" s="85" t="s">
        <v>1</v>
      </c>
      <c r="C4" s="7"/>
      <c r="D4" s="7"/>
      <c r="E4" s="7"/>
      <c r="F4" s="7"/>
      <c r="G4" s="7"/>
      <c r="H4" s="7"/>
      <c r="I4" s="7"/>
      <c r="J4" s="8"/>
      <c r="K4" s="86" t="s">
        <v>2</v>
      </c>
      <c r="L4" s="7"/>
      <c r="M4" s="7"/>
      <c r="N4" s="7"/>
      <c r="O4" s="7"/>
      <c r="P4" s="7"/>
      <c r="Q4" s="7"/>
      <c r="R4" s="7"/>
      <c r="S4" s="7"/>
      <c r="T4" s="8"/>
      <c r="X4" s="87" t="s">
        <v>50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  <c r="AU4" s="90"/>
      <c r="AV4" s="91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8"/>
    </row>
    <row r="5" ht="15.0" customHeight="1">
      <c r="A5" s="84" t="s">
        <v>51</v>
      </c>
      <c r="B5" s="92">
        <v>28.0</v>
      </c>
      <c r="C5" s="92">
        <v>30.0</v>
      </c>
      <c r="D5" s="92">
        <v>32.0</v>
      </c>
      <c r="E5" s="92">
        <v>34.0</v>
      </c>
      <c r="F5" s="92">
        <v>36.0</v>
      </c>
      <c r="G5" s="92">
        <v>38.0</v>
      </c>
      <c r="H5" s="92">
        <v>40.0</v>
      </c>
      <c r="I5" s="92"/>
      <c r="J5" s="93"/>
      <c r="K5" s="94">
        <v>28.0</v>
      </c>
      <c r="L5" s="95">
        <v>30.0</v>
      </c>
      <c r="M5" s="95">
        <v>32.0</v>
      </c>
      <c r="N5" s="95">
        <v>34.0</v>
      </c>
      <c r="O5" s="95">
        <v>36.0</v>
      </c>
      <c r="P5" s="95">
        <v>38.0</v>
      </c>
      <c r="Q5" s="95">
        <v>40.0</v>
      </c>
      <c r="R5" s="95"/>
      <c r="S5" s="95"/>
      <c r="T5" s="96" t="s">
        <v>52</v>
      </c>
      <c r="X5" s="97"/>
      <c r="Y5" s="9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8"/>
      <c r="AU5" s="99"/>
      <c r="AV5" s="85" t="s">
        <v>1</v>
      </c>
      <c r="AW5" s="7"/>
      <c r="AX5" s="7"/>
      <c r="AY5" s="7"/>
      <c r="AZ5" s="7"/>
      <c r="BA5" s="7"/>
      <c r="BB5" s="7"/>
      <c r="BC5" s="7"/>
      <c r="BD5" s="8"/>
      <c r="BE5" s="100"/>
      <c r="BF5" s="100"/>
      <c r="BG5" s="86" t="s">
        <v>2</v>
      </c>
      <c r="BH5" s="7"/>
      <c r="BI5" s="7"/>
      <c r="BJ5" s="7"/>
      <c r="BK5" s="7"/>
      <c r="BL5" s="7"/>
      <c r="BM5" s="7"/>
      <c r="BN5" s="8"/>
    </row>
    <row r="6" ht="15.0" customHeight="1">
      <c r="A6" s="84"/>
      <c r="B6" s="101" t="s">
        <v>4</v>
      </c>
      <c r="C6" s="101" t="s">
        <v>53</v>
      </c>
      <c r="D6" s="101" t="s">
        <v>54</v>
      </c>
      <c r="E6" s="101" t="s">
        <v>55</v>
      </c>
      <c r="F6" s="101" t="s">
        <v>56</v>
      </c>
      <c r="G6" s="101" t="s">
        <v>9</v>
      </c>
      <c r="H6" s="101" t="s">
        <v>10</v>
      </c>
      <c r="I6" s="101" t="s">
        <v>11</v>
      </c>
      <c r="J6" s="102" t="s">
        <v>12</v>
      </c>
      <c r="K6" s="103" t="s">
        <v>4</v>
      </c>
      <c r="L6" s="100" t="s">
        <v>53</v>
      </c>
      <c r="M6" s="100" t="s">
        <v>54</v>
      </c>
      <c r="N6" s="100" t="s">
        <v>55</v>
      </c>
      <c r="O6" s="100" t="s">
        <v>56</v>
      </c>
      <c r="P6" s="100" t="s">
        <v>9</v>
      </c>
      <c r="Q6" s="100" t="s">
        <v>10</v>
      </c>
      <c r="R6" s="100" t="s">
        <v>11</v>
      </c>
      <c r="S6" s="100" t="s">
        <v>12</v>
      </c>
      <c r="T6" s="99"/>
      <c r="X6" s="99"/>
      <c r="Y6" s="85" t="s">
        <v>1</v>
      </c>
      <c r="Z6" s="7"/>
      <c r="AA6" s="7"/>
      <c r="AB6" s="7"/>
      <c r="AC6" s="7"/>
      <c r="AD6" s="7"/>
      <c r="AE6" s="7"/>
      <c r="AF6" s="7"/>
      <c r="AG6" s="8"/>
      <c r="AH6" s="92"/>
      <c r="AI6" s="95"/>
      <c r="AJ6" s="86" t="s">
        <v>2</v>
      </c>
      <c r="AK6" s="7"/>
      <c r="AL6" s="7"/>
      <c r="AM6" s="7"/>
      <c r="AN6" s="7"/>
      <c r="AO6" s="7"/>
      <c r="AP6" s="7"/>
      <c r="AQ6" s="8"/>
      <c r="AU6" s="104" t="s">
        <v>51</v>
      </c>
      <c r="AV6" s="92">
        <v>28.0</v>
      </c>
      <c r="AW6" s="92">
        <v>30.0</v>
      </c>
      <c r="AX6" s="92">
        <v>32.0</v>
      </c>
      <c r="AY6" s="92">
        <v>34.0</v>
      </c>
      <c r="AZ6" s="92">
        <v>36.0</v>
      </c>
      <c r="BA6" s="92">
        <v>38.0</v>
      </c>
      <c r="BB6" s="92">
        <v>40.0</v>
      </c>
      <c r="BC6" s="92"/>
      <c r="BD6" s="93"/>
      <c r="BE6" s="94">
        <v>28.0</v>
      </c>
      <c r="BF6" s="95">
        <v>30.0</v>
      </c>
      <c r="BG6" s="95">
        <v>32.0</v>
      </c>
      <c r="BH6" s="95">
        <v>34.0</v>
      </c>
      <c r="BI6" s="95">
        <v>36.0</v>
      </c>
      <c r="BJ6" s="95">
        <v>38.0</v>
      </c>
      <c r="BK6" s="95">
        <v>40.0</v>
      </c>
      <c r="BL6" s="95"/>
      <c r="BM6" s="95"/>
      <c r="BN6" s="96" t="s">
        <v>52</v>
      </c>
    </row>
    <row r="7" ht="15.0" customHeight="1">
      <c r="A7" s="84" t="s">
        <v>15</v>
      </c>
      <c r="B7" s="105">
        <f>3</f>
        <v>3</v>
      </c>
      <c r="C7" s="105">
        <f>4</f>
        <v>4</v>
      </c>
      <c r="D7" s="105">
        <f t="shared" ref="D7:J7" si="1">3</f>
        <v>3</v>
      </c>
      <c r="E7" s="105">
        <f t="shared" si="1"/>
        <v>3</v>
      </c>
      <c r="F7" s="105">
        <f t="shared" si="1"/>
        <v>3</v>
      </c>
      <c r="G7" s="105">
        <f t="shared" si="1"/>
        <v>3</v>
      </c>
      <c r="H7" s="105">
        <f t="shared" si="1"/>
        <v>3</v>
      </c>
      <c r="I7" s="105">
        <f t="shared" si="1"/>
        <v>3</v>
      </c>
      <c r="J7" s="106">
        <f t="shared" si="1"/>
        <v>3</v>
      </c>
      <c r="K7" s="107">
        <f t="shared" ref="K7:K8" si="3">4</f>
        <v>4</v>
      </c>
      <c r="L7" s="105">
        <f>2+1</f>
        <v>3</v>
      </c>
      <c r="M7" s="105">
        <f>1+1+1</f>
        <v>3</v>
      </c>
      <c r="N7" s="105">
        <f>0+4</f>
        <v>4</v>
      </c>
      <c r="O7" s="108">
        <f>0+3</f>
        <v>3</v>
      </c>
      <c r="P7" s="105">
        <f>3</f>
        <v>3</v>
      </c>
      <c r="Q7" s="105">
        <f>2+1</f>
        <v>3</v>
      </c>
      <c r="R7" s="105">
        <f>1</f>
        <v>1</v>
      </c>
      <c r="S7" s="105">
        <f>1+1</f>
        <v>2</v>
      </c>
      <c r="T7" s="109">
        <f t="shared" ref="T7:T19" si="4">SUM(B7:S7)</f>
        <v>54</v>
      </c>
      <c r="X7" s="104" t="s">
        <v>51</v>
      </c>
      <c r="Y7" s="92">
        <v>28.0</v>
      </c>
      <c r="Z7" s="92">
        <v>30.0</v>
      </c>
      <c r="AA7" s="92"/>
      <c r="AB7" s="92">
        <v>34.0</v>
      </c>
      <c r="AC7" s="92">
        <v>36.0</v>
      </c>
      <c r="AD7" s="92">
        <v>38.0</v>
      </c>
      <c r="AE7" s="92">
        <v>40.0</v>
      </c>
      <c r="AF7" s="92"/>
      <c r="AG7" s="93"/>
      <c r="AH7" s="110">
        <v>28.0</v>
      </c>
      <c r="AI7" s="95">
        <v>30.0</v>
      </c>
      <c r="AJ7" s="95">
        <v>32.0</v>
      </c>
      <c r="AK7" s="95">
        <v>34.0</v>
      </c>
      <c r="AL7" s="95">
        <v>36.0</v>
      </c>
      <c r="AM7" s="95">
        <v>38.0</v>
      </c>
      <c r="AN7" s="95">
        <v>40.0</v>
      </c>
      <c r="AO7" s="95"/>
      <c r="AP7" s="95"/>
      <c r="AQ7" s="95"/>
      <c r="AU7" s="104"/>
      <c r="AV7" s="101" t="s">
        <v>4</v>
      </c>
      <c r="AW7" s="101" t="s">
        <v>53</v>
      </c>
      <c r="AX7" s="101" t="s">
        <v>54</v>
      </c>
      <c r="AY7" s="101" t="s">
        <v>55</v>
      </c>
      <c r="AZ7" s="101" t="s">
        <v>56</v>
      </c>
      <c r="BA7" s="101" t="s">
        <v>9</v>
      </c>
      <c r="BB7" s="101" t="s">
        <v>10</v>
      </c>
      <c r="BC7" s="101" t="s">
        <v>11</v>
      </c>
      <c r="BD7" s="102" t="s">
        <v>12</v>
      </c>
      <c r="BE7" s="103" t="s">
        <v>4</v>
      </c>
      <c r="BF7" s="100" t="s">
        <v>5</v>
      </c>
      <c r="BG7" s="100" t="s">
        <v>54</v>
      </c>
      <c r="BH7" s="100" t="s">
        <v>55</v>
      </c>
      <c r="BI7" s="100" t="s">
        <v>56</v>
      </c>
      <c r="BJ7" s="100" t="s">
        <v>9</v>
      </c>
      <c r="BK7" s="100" t="s">
        <v>10</v>
      </c>
      <c r="BL7" s="100" t="s">
        <v>11</v>
      </c>
      <c r="BM7" s="100" t="s">
        <v>12</v>
      </c>
      <c r="BN7" s="99"/>
    </row>
    <row r="8" ht="15.0" customHeight="1">
      <c r="A8" s="84" t="s">
        <v>14</v>
      </c>
      <c r="B8" s="105">
        <f>2+1-1+1</f>
        <v>3</v>
      </c>
      <c r="C8" s="105">
        <f>1+2-1+1</f>
        <v>3</v>
      </c>
      <c r="D8" s="105">
        <f>1+2-1+1+1-1+1</f>
        <v>4</v>
      </c>
      <c r="E8" s="105">
        <f>5-1+1+1-1+1</f>
        <v>6</v>
      </c>
      <c r="F8" s="105">
        <f>2+1-1+1</f>
        <v>3</v>
      </c>
      <c r="G8" s="108">
        <f t="shared" ref="G8:H8" si="2">0+3</f>
        <v>3</v>
      </c>
      <c r="H8" s="108">
        <f t="shared" si="2"/>
        <v>3</v>
      </c>
      <c r="I8" s="105">
        <f>2+1</f>
        <v>3</v>
      </c>
      <c r="J8" s="106">
        <f>1+2</f>
        <v>3</v>
      </c>
      <c r="K8" s="107">
        <f t="shared" si="3"/>
        <v>4</v>
      </c>
      <c r="L8" s="105">
        <f>3-1+1+1-3</f>
        <v>1</v>
      </c>
      <c r="M8" s="105">
        <f>7-1+1-3</f>
        <v>4</v>
      </c>
      <c r="N8" s="105">
        <f>4-2+2+1-3</f>
        <v>2</v>
      </c>
      <c r="O8" s="105">
        <f>3-1+1+1-2</f>
        <v>2</v>
      </c>
      <c r="P8" s="105">
        <f>4-3-1</f>
        <v>0</v>
      </c>
      <c r="Q8" s="105">
        <f>4+3-1</f>
        <v>6</v>
      </c>
      <c r="R8" s="105">
        <f t="shared" ref="R8:R10" si="9">3</f>
        <v>3</v>
      </c>
      <c r="S8" s="105">
        <f>4</f>
        <v>4</v>
      </c>
      <c r="T8" s="109">
        <f t="shared" si="4"/>
        <v>57</v>
      </c>
      <c r="X8" s="104"/>
      <c r="Y8" s="111" t="s">
        <v>4</v>
      </c>
      <c r="Z8" s="111" t="s">
        <v>53</v>
      </c>
      <c r="AA8" s="111" t="s">
        <v>54</v>
      </c>
      <c r="AB8" s="111" t="s">
        <v>55</v>
      </c>
      <c r="AC8" s="111" t="s">
        <v>56</v>
      </c>
      <c r="AD8" s="111" t="s">
        <v>9</v>
      </c>
      <c r="AE8" s="111" t="s">
        <v>10</v>
      </c>
      <c r="AF8" s="111" t="s">
        <v>11</v>
      </c>
      <c r="AG8" s="112" t="s">
        <v>12</v>
      </c>
      <c r="AH8" s="113" t="s">
        <v>4</v>
      </c>
      <c r="AI8" s="111" t="s">
        <v>53</v>
      </c>
      <c r="AJ8" s="111" t="s">
        <v>54</v>
      </c>
      <c r="AK8" s="111" t="s">
        <v>55</v>
      </c>
      <c r="AL8" s="111" t="s">
        <v>56</v>
      </c>
      <c r="AM8" s="111" t="s">
        <v>9</v>
      </c>
      <c r="AN8" s="111" t="s">
        <v>10</v>
      </c>
      <c r="AO8" s="111" t="s">
        <v>11</v>
      </c>
      <c r="AP8" s="111" t="s">
        <v>12</v>
      </c>
      <c r="AQ8" s="114" t="s">
        <v>52</v>
      </c>
      <c r="AU8" s="115" t="s">
        <v>13</v>
      </c>
      <c r="AV8" s="108">
        <f>0+3</f>
        <v>3</v>
      </c>
      <c r="AW8" s="108">
        <f>0+4+2-1+1-1+1</f>
        <v>6</v>
      </c>
      <c r="AX8" s="108">
        <f>0+1+1-1-1+2+1-1-1+1+1</f>
        <v>3</v>
      </c>
      <c r="AY8" s="108">
        <f>0+2-1+1</f>
        <v>2</v>
      </c>
      <c r="AZ8" s="108">
        <f>0+3-1-1+1+1</f>
        <v>3</v>
      </c>
      <c r="BA8" s="108">
        <f>0+2+1</f>
        <v>3</v>
      </c>
      <c r="BB8" s="108">
        <f>0+3</f>
        <v>3</v>
      </c>
      <c r="BC8" s="108">
        <f t="shared" ref="BC8:BE8" si="5">0+2</f>
        <v>2</v>
      </c>
      <c r="BD8" s="108">
        <f t="shared" si="5"/>
        <v>2</v>
      </c>
      <c r="BE8" s="108">
        <f t="shared" si="5"/>
        <v>2</v>
      </c>
      <c r="BF8" s="108">
        <f>0+3-1-1+1+1</f>
        <v>3</v>
      </c>
      <c r="BG8" s="108">
        <f>0+3-1+1+1</f>
        <v>4</v>
      </c>
      <c r="BH8" s="108">
        <f>0+2+1+1-1+1+1+1</f>
        <v>6</v>
      </c>
      <c r="BI8" s="108">
        <f>0+3+1-1+1+1-1</f>
        <v>4</v>
      </c>
      <c r="BJ8" s="108">
        <f>0+3</f>
        <v>3</v>
      </c>
      <c r="BK8" s="108">
        <f t="shared" ref="BK8:BL8" si="6">0</f>
        <v>0</v>
      </c>
      <c r="BL8" s="108">
        <f t="shared" si="6"/>
        <v>0</v>
      </c>
      <c r="BM8" s="108">
        <f>0+1</f>
        <v>1</v>
      </c>
      <c r="BN8" s="114">
        <f t="shared" ref="BN8:BN10" si="13">SUM(AV8:BM8)</f>
        <v>50</v>
      </c>
    </row>
    <row r="9" ht="15.0" customHeight="1">
      <c r="A9" s="84" t="s">
        <v>57</v>
      </c>
      <c r="B9" s="105">
        <f>2+1</f>
        <v>3</v>
      </c>
      <c r="C9" s="105">
        <f>1+2</f>
        <v>3</v>
      </c>
      <c r="D9" s="105">
        <f>3+1</f>
        <v>4</v>
      </c>
      <c r="E9" s="105">
        <f>4</f>
        <v>4</v>
      </c>
      <c r="F9" s="105">
        <f>3</f>
        <v>3</v>
      </c>
      <c r="G9" s="105">
        <f>4</f>
        <v>4</v>
      </c>
      <c r="H9" s="105">
        <f>3</f>
        <v>3</v>
      </c>
      <c r="I9" s="105">
        <f t="shared" ref="I9:J9" si="7">2</f>
        <v>2</v>
      </c>
      <c r="J9" s="106">
        <f t="shared" si="7"/>
        <v>2</v>
      </c>
      <c r="K9" s="107">
        <f t="shared" ref="K9:K11" si="15">5</f>
        <v>5</v>
      </c>
      <c r="L9" s="105">
        <f>4-1</f>
        <v>3</v>
      </c>
      <c r="M9" s="105">
        <f t="shared" ref="M9:P9" si="8">5</f>
        <v>5</v>
      </c>
      <c r="N9" s="105">
        <f t="shared" si="8"/>
        <v>5</v>
      </c>
      <c r="O9" s="105">
        <f t="shared" si="8"/>
        <v>5</v>
      </c>
      <c r="P9" s="105">
        <f t="shared" si="8"/>
        <v>5</v>
      </c>
      <c r="Q9" s="105">
        <f t="shared" ref="Q9:Q10" si="16">4</f>
        <v>4</v>
      </c>
      <c r="R9" s="105">
        <f t="shared" si="9"/>
        <v>3</v>
      </c>
      <c r="S9" s="105">
        <f t="shared" ref="S9:S11" si="17">3</f>
        <v>3</v>
      </c>
      <c r="T9" s="109">
        <f t="shared" si="4"/>
        <v>66</v>
      </c>
      <c r="X9" s="116" t="s">
        <v>13</v>
      </c>
      <c r="Y9" s="108">
        <f t="shared" ref="Y9:Y10" si="18">0+1</f>
        <v>1</v>
      </c>
      <c r="Z9" s="108">
        <f>0+2+1+1-1</f>
        <v>3</v>
      </c>
      <c r="AA9" s="108">
        <f>0+1+1+1-1+1</f>
        <v>3</v>
      </c>
      <c r="AB9" s="108">
        <f>0+2</f>
        <v>2</v>
      </c>
      <c r="AC9" s="108">
        <f>0+2+1</f>
        <v>3</v>
      </c>
      <c r="AD9" s="108">
        <f t="shared" ref="AD9:AE9" si="10">0+1</f>
        <v>1</v>
      </c>
      <c r="AE9" s="108">
        <f t="shared" si="10"/>
        <v>1</v>
      </c>
      <c r="AF9" s="108">
        <f>0</f>
        <v>0</v>
      </c>
      <c r="AG9" s="108">
        <f>0+1</f>
        <v>1</v>
      </c>
      <c r="AH9" s="108">
        <f>0+2+1</f>
        <v>3</v>
      </c>
      <c r="AI9" s="108">
        <f>0+1+1</f>
        <v>2</v>
      </c>
      <c r="AJ9" s="108">
        <f>0+1+1+1+1</f>
        <v>4</v>
      </c>
      <c r="AK9" s="108">
        <f>0+3+1-2+2-1+1</f>
        <v>4</v>
      </c>
      <c r="AL9" s="108">
        <f>0+4+1+1</f>
        <v>6</v>
      </c>
      <c r="AM9" s="108">
        <f>0</f>
        <v>0</v>
      </c>
      <c r="AN9" s="108">
        <f>0+4+1</f>
        <v>5</v>
      </c>
      <c r="AO9" s="108">
        <f>0+1+1</f>
        <v>2</v>
      </c>
      <c r="AP9" s="108">
        <f>0</f>
        <v>0</v>
      </c>
      <c r="AQ9" s="114">
        <f t="shared" ref="AQ9:AQ11" si="21">SUM(Y9:AP9)</f>
        <v>41</v>
      </c>
      <c r="AU9" s="117" t="s">
        <v>58</v>
      </c>
      <c r="AV9" s="108">
        <f t="shared" ref="AV9:AW9" si="11">0+2</f>
        <v>2</v>
      </c>
      <c r="AW9" s="108">
        <f t="shared" si="11"/>
        <v>2</v>
      </c>
      <c r="AX9" s="108">
        <f>0+1</f>
        <v>1</v>
      </c>
      <c r="AY9" s="108">
        <f>0+5</f>
        <v>5</v>
      </c>
      <c r="AZ9" s="108">
        <f t="shared" ref="AZ9:BB9" si="12">0+3</f>
        <v>3</v>
      </c>
      <c r="BA9" s="108">
        <f t="shared" si="12"/>
        <v>3</v>
      </c>
      <c r="BB9" s="108">
        <f t="shared" si="12"/>
        <v>3</v>
      </c>
      <c r="BC9" s="108">
        <f>0+1</f>
        <v>1</v>
      </c>
      <c r="BD9" s="108">
        <f>0+2</f>
        <v>2</v>
      </c>
      <c r="BE9" s="108">
        <f>0+1+1</f>
        <v>2</v>
      </c>
      <c r="BF9" s="108">
        <f>0+5+1+2</f>
        <v>8</v>
      </c>
      <c r="BG9" s="108">
        <f>0</f>
        <v>0</v>
      </c>
      <c r="BH9" s="108">
        <f>0+4+1</f>
        <v>5</v>
      </c>
      <c r="BI9" s="108">
        <f>0+3+1</f>
        <v>4</v>
      </c>
      <c r="BJ9" s="108">
        <f>0+4+2</f>
        <v>6</v>
      </c>
      <c r="BK9" s="108">
        <f>0</f>
        <v>0</v>
      </c>
      <c r="BL9" s="108">
        <f>0+1</f>
        <v>1</v>
      </c>
      <c r="BM9" s="108">
        <f>0+2</f>
        <v>2</v>
      </c>
      <c r="BN9" s="114">
        <f t="shared" si="13"/>
        <v>50</v>
      </c>
    </row>
    <row r="10" ht="15.0" customHeight="1">
      <c r="A10" s="84" t="s">
        <v>59</v>
      </c>
      <c r="B10" s="105">
        <f t="shared" ref="B10:D10" si="14">4</f>
        <v>4</v>
      </c>
      <c r="C10" s="105">
        <f t="shared" si="14"/>
        <v>4</v>
      </c>
      <c r="D10" s="105">
        <f t="shared" si="14"/>
        <v>4</v>
      </c>
      <c r="E10" s="105">
        <f>4-1</f>
        <v>3</v>
      </c>
      <c r="F10" s="105">
        <f>4+1-1</f>
        <v>4</v>
      </c>
      <c r="G10" s="105">
        <f>4-1+1-1</f>
        <v>3</v>
      </c>
      <c r="H10" s="105">
        <f>2</f>
        <v>2</v>
      </c>
      <c r="I10" s="105">
        <f>3</f>
        <v>3</v>
      </c>
      <c r="J10" s="106">
        <f t="shared" ref="J10:J11" si="25">2</f>
        <v>2</v>
      </c>
      <c r="K10" s="107">
        <f t="shared" si="15"/>
        <v>5</v>
      </c>
      <c r="L10" s="105">
        <f>4-1-1</f>
        <v>2</v>
      </c>
      <c r="M10" s="118">
        <f>1+2-1</f>
        <v>2</v>
      </c>
      <c r="N10" s="118">
        <f>2+1-1</f>
        <v>2</v>
      </c>
      <c r="O10" s="118">
        <f>4</f>
        <v>4</v>
      </c>
      <c r="P10" s="108">
        <f>0+3</f>
        <v>3</v>
      </c>
      <c r="Q10" s="118">
        <f t="shared" si="16"/>
        <v>4</v>
      </c>
      <c r="R10" s="118">
        <f t="shared" si="9"/>
        <v>3</v>
      </c>
      <c r="S10" s="118">
        <f t="shared" si="17"/>
        <v>3</v>
      </c>
      <c r="T10" s="109">
        <f t="shared" si="4"/>
        <v>57</v>
      </c>
      <c r="X10" s="116" t="s">
        <v>14</v>
      </c>
      <c r="Y10" s="108">
        <f t="shared" si="18"/>
        <v>1</v>
      </c>
      <c r="Z10" s="108">
        <f>0+1+1</f>
        <v>2</v>
      </c>
      <c r="AA10" s="108">
        <f>0+1</f>
        <v>1</v>
      </c>
      <c r="AB10" s="108">
        <f>0+1+1</f>
        <v>2</v>
      </c>
      <c r="AC10" s="108">
        <f>0+2</f>
        <v>2</v>
      </c>
      <c r="AD10" s="108">
        <f t="shared" ref="AD10:AF10" si="19">0+1</f>
        <v>1</v>
      </c>
      <c r="AE10" s="108">
        <f t="shared" si="19"/>
        <v>1</v>
      </c>
      <c r="AF10" s="108">
        <f t="shared" si="19"/>
        <v>1</v>
      </c>
      <c r="AG10" s="108">
        <f>0</f>
        <v>0</v>
      </c>
      <c r="AH10" s="108">
        <f>0+3</f>
        <v>3</v>
      </c>
      <c r="AI10" s="108">
        <f t="shared" ref="AI10:AJ10" si="20">0</f>
        <v>0</v>
      </c>
      <c r="AJ10" s="108">
        <f t="shared" si="20"/>
        <v>0</v>
      </c>
      <c r="AK10" s="108">
        <f>0+2+1</f>
        <v>3</v>
      </c>
      <c r="AL10" s="108">
        <f>0+2+1-1-1</f>
        <v>1</v>
      </c>
      <c r="AM10" s="108">
        <f>0+1+2-1+1</f>
        <v>3</v>
      </c>
      <c r="AN10" s="108">
        <f>0+1</f>
        <v>1</v>
      </c>
      <c r="AO10" s="108">
        <f>0</f>
        <v>0</v>
      </c>
      <c r="AP10" s="108">
        <f>0+1-1</f>
        <v>0</v>
      </c>
      <c r="AQ10" s="114">
        <f t="shared" si="21"/>
        <v>22</v>
      </c>
      <c r="AU10" s="115" t="s">
        <v>16</v>
      </c>
      <c r="AV10" s="108">
        <f t="shared" ref="AV10:AW10" si="22">0+2-2</f>
        <v>0</v>
      </c>
      <c r="AW10" s="108">
        <f t="shared" si="22"/>
        <v>0</v>
      </c>
      <c r="AX10" s="108">
        <f t="shared" ref="AX10:AZ10" si="23">0+1-1</f>
        <v>0</v>
      </c>
      <c r="AY10" s="108">
        <f t="shared" si="23"/>
        <v>0</v>
      </c>
      <c r="AZ10" s="108">
        <f t="shared" si="23"/>
        <v>0</v>
      </c>
      <c r="BA10" s="108">
        <f t="shared" ref="BA10:BM10" si="24">0</f>
        <v>0</v>
      </c>
      <c r="BB10" s="108">
        <f t="shared" si="24"/>
        <v>0</v>
      </c>
      <c r="BC10" s="108">
        <f t="shared" si="24"/>
        <v>0</v>
      </c>
      <c r="BD10" s="108">
        <f t="shared" si="24"/>
        <v>0</v>
      </c>
      <c r="BE10" s="108">
        <f t="shared" si="24"/>
        <v>0</v>
      </c>
      <c r="BF10" s="108">
        <f t="shared" si="24"/>
        <v>0</v>
      </c>
      <c r="BG10" s="108">
        <f t="shared" si="24"/>
        <v>0</v>
      </c>
      <c r="BH10" s="108">
        <f t="shared" si="24"/>
        <v>0</v>
      </c>
      <c r="BI10" s="108">
        <f t="shared" si="24"/>
        <v>0</v>
      </c>
      <c r="BJ10" s="108">
        <f t="shared" si="24"/>
        <v>0</v>
      </c>
      <c r="BK10" s="108">
        <f t="shared" si="24"/>
        <v>0</v>
      </c>
      <c r="BL10" s="108">
        <f t="shared" si="24"/>
        <v>0</v>
      </c>
      <c r="BM10" s="108">
        <f t="shared" si="24"/>
        <v>0</v>
      </c>
      <c r="BN10" s="114">
        <f t="shared" si="13"/>
        <v>0</v>
      </c>
    </row>
    <row r="11" ht="15.0" customHeight="1">
      <c r="A11" s="84" t="s">
        <v>13</v>
      </c>
      <c r="B11" s="105">
        <f>1+2-1+1</f>
        <v>3</v>
      </c>
      <c r="C11" s="108">
        <f>0</f>
        <v>0</v>
      </c>
      <c r="D11" s="105">
        <f>3-1+1-1-1+1+1</f>
        <v>3</v>
      </c>
      <c r="E11" s="105">
        <f>6-1+1</f>
        <v>6</v>
      </c>
      <c r="F11" s="105">
        <f>1-1+1</f>
        <v>1</v>
      </c>
      <c r="G11" s="105">
        <f>2</f>
        <v>2</v>
      </c>
      <c r="H11" s="105">
        <f>3</f>
        <v>3</v>
      </c>
      <c r="I11" s="105">
        <f>4</f>
        <v>4</v>
      </c>
      <c r="J11" s="106">
        <f t="shared" si="25"/>
        <v>2</v>
      </c>
      <c r="K11" s="107">
        <f t="shared" si="15"/>
        <v>5</v>
      </c>
      <c r="L11" s="105">
        <f>4+3-3+6</f>
        <v>10</v>
      </c>
      <c r="M11" s="118">
        <f>5+1+1-3+6-1+1+1</f>
        <v>11</v>
      </c>
      <c r="N11" s="118">
        <f>4-3+6</f>
        <v>7</v>
      </c>
      <c r="O11" s="118">
        <f>2-2+5</f>
        <v>5</v>
      </c>
      <c r="P11" s="118">
        <f>3+1-1+2</f>
        <v>5</v>
      </c>
      <c r="Q11" s="118">
        <f>4-1+2</f>
        <v>5</v>
      </c>
      <c r="R11" s="118">
        <f>1+2</f>
        <v>3</v>
      </c>
      <c r="S11" s="118">
        <f t="shared" si="17"/>
        <v>3</v>
      </c>
      <c r="T11" s="109">
        <f t="shared" si="4"/>
        <v>78</v>
      </c>
      <c r="X11" s="116" t="s">
        <v>16</v>
      </c>
      <c r="Y11" s="108">
        <f t="shared" ref="Y11:AP11" si="26">0</f>
        <v>0</v>
      </c>
      <c r="Z11" s="108">
        <f t="shared" si="26"/>
        <v>0</v>
      </c>
      <c r="AA11" s="108">
        <f t="shared" si="26"/>
        <v>0</v>
      </c>
      <c r="AB11" s="108">
        <f t="shared" si="26"/>
        <v>0</v>
      </c>
      <c r="AC11" s="108">
        <f t="shared" si="26"/>
        <v>0</v>
      </c>
      <c r="AD11" s="108">
        <f t="shared" si="26"/>
        <v>0</v>
      </c>
      <c r="AE11" s="108">
        <f t="shared" si="26"/>
        <v>0</v>
      </c>
      <c r="AF11" s="108">
        <f t="shared" si="26"/>
        <v>0</v>
      </c>
      <c r="AG11" s="108">
        <f t="shared" si="26"/>
        <v>0</v>
      </c>
      <c r="AH11" s="108">
        <f t="shared" si="26"/>
        <v>0</v>
      </c>
      <c r="AI11" s="108">
        <f t="shared" si="26"/>
        <v>0</v>
      </c>
      <c r="AJ11" s="108">
        <f t="shared" si="26"/>
        <v>0</v>
      </c>
      <c r="AK11" s="108">
        <f t="shared" si="26"/>
        <v>0</v>
      </c>
      <c r="AL11" s="108">
        <f t="shared" si="26"/>
        <v>0</v>
      </c>
      <c r="AM11" s="108">
        <f t="shared" si="26"/>
        <v>0</v>
      </c>
      <c r="AN11" s="108">
        <f t="shared" si="26"/>
        <v>0</v>
      </c>
      <c r="AO11" s="108">
        <f t="shared" si="26"/>
        <v>0</v>
      </c>
      <c r="AP11" s="108">
        <f t="shared" si="26"/>
        <v>0</v>
      </c>
      <c r="AQ11" s="114">
        <f t="shared" si="21"/>
        <v>0</v>
      </c>
      <c r="AU11" s="119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1">
        <f>SUM(BN8:BN10)</f>
        <v>100</v>
      </c>
    </row>
    <row r="12" ht="15.0" customHeight="1">
      <c r="A12" s="84" t="s">
        <v>29</v>
      </c>
      <c r="B12" s="108">
        <f>0+3</f>
        <v>3</v>
      </c>
      <c r="C12" s="105">
        <f>2+1</f>
        <v>3</v>
      </c>
      <c r="D12" s="105">
        <f>4</f>
        <v>4</v>
      </c>
      <c r="E12" s="105">
        <f>3</f>
        <v>3</v>
      </c>
      <c r="F12" s="105">
        <f>2</f>
        <v>2</v>
      </c>
      <c r="G12" s="105">
        <f>3</f>
        <v>3</v>
      </c>
      <c r="H12" s="105">
        <f t="shared" ref="H12:J12" si="27">2</f>
        <v>2</v>
      </c>
      <c r="I12" s="105">
        <f t="shared" si="27"/>
        <v>2</v>
      </c>
      <c r="J12" s="106">
        <f t="shared" si="27"/>
        <v>2</v>
      </c>
      <c r="K12" s="107">
        <f>1+2</f>
        <v>3</v>
      </c>
      <c r="L12" s="105">
        <f>1+1+3</f>
        <v>5</v>
      </c>
      <c r="M12" s="105">
        <f>2+1</f>
        <v>3</v>
      </c>
      <c r="N12" s="108">
        <f t="shared" ref="N12:O12" si="28">0+3</f>
        <v>3</v>
      </c>
      <c r="O12" s="108">
        <f t="shared" si="28"/>
        <v>3</v>
      </c>
      <c r="P12" s="118">
        <f>1+2</f>
        <v>3</v>
      </c>
      <c r="Q12" s="118">
        <f>1</f>
        <v>1</v>
      </c>
      <c r="R12" s="118">
        <f>1+1</f>
        <v>2</v>
      </c>
      <c r="S12" s="118">
        <f>1+1-1</f>
        <v>1</v>
      </c>
      <c r="T12" s="109">
        <f t="shared" si="4"/>
        <v>48</v>
      </c>
      <c r="X12" s="119" t="s">
        <v>60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2">
        <f>SUM(AQ9:AQ11)</f>
        <v>63</v>
      </c>
      <c r="AU12" s="119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3"/>
    </row>
    <row r="13" ht="15.0" customHeight="1">
      <c r="A13" s="84" t="s">
        <v>61</v>
      </c>
      <c r="B13" s="105">
        <f t="shared" ref="B13:C13" si="29">4</f>
        <v>4</v>
      </c>
      <c r="C13" s="105">
        <f t="shared" si="29"/>
        <v>4</v>
      </c>
      <c r="D13" s="105">
        <f>4-1+1+1</f>
        <v>5</v>
      </c>
      <c r="E13" s="105">
        <f>3-1+1+1</f>
        <v>4</v>
      </c>
      <c r="F13" s="105">
        <f>2+1</f>
        <v>3</v>
      </c>
      <c r="G13" s="105">
        <f>4</f>
        <v>4</v>
      </c>
      <c r="H13" s="105">
        <f>5</f>
        <v>5</v>
      </c>
      <c r="I13" s="105">
        <f t="shared" ref="I13:J13" si="30">2</f>
        <v>2</v>
      </c>
      <c r="J13" s="106">
        <f t="shared" si="30"/>
        <v>2</v>
      </c>
      <c r="K13" s="107">
        <f>6</f>
        <v>6</v>
      </c>
      <c r="L13" s="105">
        <f>4-1</f>
        <v>3</v>
      </c>
      <c r="M13" s="118">
        <f>6</f>
        <v>6</v>
      </c>
      <c r="N13" s="118">
        <f>7</f>
        <v>7</v>
      </c>
      <c r="O13" s="118">
        <f t="shared" ref="O13:P13" si="31">2+1</f>
        <v>3</v>
      </c>
      <c r="P13" s="105">
        <f t="shared" si="31"/>
        <v>3</v>
      </c>
      <c r="Q13" s="105">
        <f>4</f>
        <v>4</v>
      </c>
      <c r="R13" s="118">
        <f t="shared" ref="R13:S13" si="32">3</f>
        <v>3</v>
      </c>
      <c r="S13" s="118">
        <f t="shared" si="32"/>
        <v>3</v>
      </c>
      <c r="T13" s="109">
        <f t="shared" si="4"/>
        <v>71</v>
      </c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U13" s="83" t="s">
        <v>62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8"/>
    </row>
    <row r="14" ht="15.0" customHeight="1">
      <c r="A14" s="84" t="s">
        <v>63</v>
      </c>
      <c r="B14" s="105">
        <f t="shared" ref="B14:C14" si="33">2+1</f>
        <v>3</v>
      </c>
      <c r="C14" s="105">
        <f t="shared" si="33"/>
        <v>3</v>
      </c>
      <c r="D14" s="105">
        <f>3</f>
        <v>3</v>
      </c>
      <c r="E14" s="105">
        <f t="shared" ref="E14:E16" si="36">4</f>
        <v>4</v>
      </c>
      <c r="F14" s="105">
        <f>3</f>
        <v>3</v>
      </c>
      <c r="G14" s="105">
        <f>5</f>
        <v>5</v>
      </c>
      <c r="H14" s="105">
        <f>1+1</f>
        <v>2</v>
      </c>
      <c r="I14" s="105">
        <f t="shared" ref="I14:I15" si="37">2</f>
        <v>2</v>
      </c>
      <c r="J14" s="106">
        <f>1</f>
        <v>1</v>
      </c>
      <c r="K14" s="107">
        <f>5</f>
        <v>5</v>
      </c>
      <c r="L14" s="105">
        <f>4+1-2+2</f>
        <v>5</v>
      </c>
      <c r="M14" s="118">
        <f>4+1-1</f>
        <v>4</v>
      </c>
      <c r="N14" s="118">
        <f>5</f>
        <v>5</v>
      </c>
      <c r="O14" s="118">
        <f>5+1</f>
        <v>6</v>
      </c>
      <c r="P14" s="118">
        <f t="shared" ref="P14:P15" si="38">3</f>
        <v>3</v>
      </c>
      <c r="Q14" s="105">
        <f>1+1</f>
        <v>2</v>
      </c>
      <c r="R14" s="118">
        <f t="shared" ref="R14:S14" si="34">1</f>
        <v>1</v>
      </c>
      <c r="S14" s="118">
        <f t="shared" si="34"/>
        <v>1</v>
      </c>
      <c r="T14" s="109">
        <f t="shared" si="4"/>
        <v>58</v>
      </c>
      <c r="X14" s="127" t="s">
        <v>64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U14" s="90"/>
      <c r="AV14" s="91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8"/>
    </row>
    <row r="15" ht="15.0" customHeight="1">
      <c r="A15" s="84" t="s">
        <v>19</v>
      </c>
      <c r="B15" s="105">
        <f t="shared" ref="B15:D15" si="35">3</f>
        <v>3</v>
      </c>
      <c r="C15" s="105">
        <f t="shared" si="35"/>
        <v>3</v>
      </c>
      <c r="D15" s="105">
        <f t="shared" si="35"/>
        <v>3</v>
      </c>
      <c r="E15" s="105">
        <f t="shared" si="36"/>
        <v>4</v>
      </c>
      <c r="F15" s="105">
        <f t="shared" ref="F15:F16" si="41">2+1</f>
        <v>3</v>
      </c>
      <c r="G15" s="105">
        <f>3</f>
        <v>3</v>
      </c>
      <c r="H15" s="105">
        <f>2+1</f>
        <v>3</v>
      </c>
      <c r="I15" s="105">
        <f t="shared" si="37"/>
        <v>2</v>
      </c>
      <c r="J15" s="106">
        <f>2</f>
        <v>2</v>
      </c>
      <c r="K15" s="107">
        <v>3.0</v>
      </c>
      <c r="L15" s="105">
        <f>5</f>
        <v>5</v>
      </c>
      <c r="M15" s="105">
        <f>10</f>
        <v>10</v>
      </c>
      <c r="N15" s="105">
        <f>8</f>
        <v>8</v>
      </c>
      <c r="O15" s="105">
        <f>9</f>
        <v>9</v>
      </c>
      <c r="P15" s="105">
        <f t="shared" si="38"/>
        <v>3</v>
      </c>
      <c r="Q15" s="105">
        <f t="shared" ref="Q15:S15" si="39">3</f>
        <v>3</v>
      </c>
      <c r="R15" s="105">
        <f t="shared" si="39"/>
        <v>3</v>
      </c>
      <c r="S15" s="105">
        <f t="shared" si="39"/>
        <v>3</v>
      </c>
      <c r="T15" s="109">
        <f t="shared" si="4"/>
        <v>73</v>
      </c>
      <c r="X15" s="90"/>
      <c r="Y15" s="9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  <c r="AU15" s="99"/>
      <c r="AV15" s="85" t="s">
        <v>1</v>
      </c>
      <c r="AW15" s="7"/>
      <c r="AX15" s="7"/>
      <c r="AY15" s="7"/>
      <c r="AZ15" s="7"/>
      <c r="BA15" s="7"/>
      <c r="BB15" s="7"/>
      <c r="BC15" s="7"/>
      <c r="BD15" s="8"/>
      <c r="BE15" s="100"/>
      <c r="BF15" s="100"/>
      <c r="BG15" s="86" t="s">
        <v>2</v>
      </c>
      <c r="BH15" s="7"/>
      <c r="BI15" s="7"/>
      <c r="BJ15" s="7"/>
      <c r="BK15" s="7"/>
      <c r="BL15" s="7"/>
      <c r="BM15" s="7"/>
      <c r="BN15" s="8"/>
    </row>
    <row r="16" ht="15.0" customHeight="1">
      <c r="A16" s="84" t="s">
        <v>17</v>
      </c>
      <c r="B16" s="105">
        <f>1+2</f>
        <v>3</v>
      </c>
      <c r="C16" s="105">
        <f t="shared" ref="C16:D16" si="40">3</f>
        <v>3</v>
      </c>
      <c r="D16" s="105">
        <f t="shared" si="40"/>
        <v>3</v>
      </c>
      <c r="E16" s="105">
        <f t="shared" si="36"/>
        <v>4</v>
      </c>
      <c r="F16" s="105">
        <f t="shared" si="41"/>
        <v>3</v>
      </c>
      <c r="G16" s="105">
        <f>2+1</f>
        <v>3</v>
      </c>
      <c r="H16" s="105">
        <f t="shared" ref="H16:I16" si="42">1+1</f>
        <v>2</v>
      </c>
      <c r="I16" s="105">
        <f t="shared" si="42"/>
        <v>2</v>
      </c>
      <c r="J16" s="106">
        <f>1</f>
        <v>1</v>
      </c>
      <c r="K16" s="107">
        <f>2+1</f>
        <v>3</v>
      </c>
      <c r="L16" s="118">
        <f t="shared" ref="L16:Q16" si="43">1+2</f>
        <v>3</v>
      </c>
      <c r="M16" s="118">
        <f t="shared" si="43"/>
        <v>3</v>
      </c>
      <c r="N16" s="118">
        <f t="shared" si="43"/>
        <v>3</v>
      </c>
      <c r="O16" s="118">
        <f t="shared" si="43"/>
        <v>3</v>
      </c>
      <c r="P16" s="118">
        <f t="shared" si="43"/>
        <v>3</v>
      </c>
      <c r="Q16" s="118">
        <f t="shared" si="43"/>
        <v>3</v>
      </c>
      <c r="R16" s="118">
        <f t="shared" ref="R16:S16" si="44">2</f>
        <v>2</v>
      </c>
      <c r="S16" s="118">
        <f t="shared" si="44"/>
        <v>2</v>
      </c>
      <c r="T16" s="109">
        <f t="shared" si="4"/>
        <v>49</v>
      </c>
      <c r="X16" s="99"/>
      <c r="Y16" s="85" t="s">
        <v>1</v>
      </c>
      <c r="Z16" s="7"/>
      <c r="AA16" s="7"/>
      <c r="AB16" s="7"/>
      <c r="AC16" s="7"/>
      <c r="AD16" s="7"/>
      <c r="AE16" s="7"/>
      <c r="AF16" s="7"/>
      <c r="AG16" s="8"/>
      <c r="AH16" s="95"/>
      <c r="AI16" s="95"/>
      <c r="AJ16" s="86" t="s">
        <v>2</v>
      </c>
      <c r="AK16" s="7"/>
      <c r="AL16" s="7"/>
      <c r="AM16" s="7"/>
      <c r="AN16" s="7"/>
      <c r="AO16" s="7"/>
      <c r="AP16" s="7"/>
      <c r="AQ16" s="8"/>
      <c r="AU16" s="104" t="s">
        <v>51</v>
      </c>
      <c r="AV16" s="92">
        <v>28.0</v>
      </c>
      <c r="AW16" s="92">
        <v>30.0</v>
      </c>
      <c r="AX16" s="92">
        <v>32.0</v>
      </c>
      <c r="AY16" s="92">
        <v>34.0</v>
      </c>
      <c r="AZ16" s="92">
        <v>36.0</v>
      </c>
      <c r="BA16" s="92">
        <v>38.0</v>
      </c>
      <c r="BB16" s="92">
        <v>40.0</v>
      </c>
      <c r="BC16" s="92"/>
      <c r="BD16" s="93"/>
      <c r="BE16" s="94">
        <v>28.0</v>
      </c>
      <c r="BF16" s="95">
        <v>30.0</v>
      </c>
      <c r="BG16" s="95">
        <v>32.0</v>
      </c>
      <c r="BH16" s="95">
        <v>34.0</v>
      </c>
      <c r="BI16" s="95">
        <v>36.0</v>
      </c>
      <c r="BJ16" s="95">
        <v>38.0</v>
      </c>
      <c r="BK16" s="95">
        <v>40.0</v>
      </c>
      <c r="BL16" s="95"/>
      <c r="BM16" s="95"/>
      <c r="BN16" s="96" t="s">
        <v>52</v>
      </c>
      <c r="BO16" s="130"/>
    </row>
    <row r="17" ht="15.0" customHeight="1">
      <c r="A17" s="84" t="s">
        <v>65</v>
      </c>
      <c r="B17" s="105">
        <f>1</f>
        <v>1</v>
      </c>
      <c r="C17" s="105">
        <f t="shared" ref="C17:C18" si="48">3</f>
        <v>3</v>
      </c>
      <c r="D17" s="105">
        <f>8</f>
        <v>8</v>
      </c>
      <c r="E17" s="105">
        <f>3-1+1+1</f>
        <v>4</v>
      </c>
      <c r="F17" s="105">
        <f>3</f>
        <v>3</v>
      </c>
      <c r="G17" s="105">
        <f t="shared" ref="G17:H17" si="45">2</f>
        <v>2</v>
      </c>
      <c r="H17" s="105">
        <f t="shared" si="45"/>
        <v>2</v>
      </c>
      <c r="I17" s="105">
        <f t="shared" ref="I17:J17" si="46">1</f>
        <v>1</v>
      </c>
      <c r="J17" s="106">
        <f t="shared" si="46"/>
        <v>1</v>
      </c>
      <c r="K17" s="107">
        <v>3.0</v>
      </c>
      <c r="L17" s="105">
        <f>5</f>
        <v>5</v>
      </c>
      <c r="M17" s="105">
        <f>18</f>
        <v>18</v>
      </c>
      <c r="N17" s="105">
        <f>10</f>
        <v>10</v>
      </c>
      <c r="O17" s="105">
        <f t="shared" ref="O17:O19" si="51">8</f>
        <v>8</v>
      </c>
      <c r="P17" s="105">
        <f t="shared" ref="P17:P19" si="52">6</f>
        <v>6</v>
      </c>
      <c r="Q17" s="105">
        <f t="shared" ref="Q17:Q19" si="53">3</f>
        <v>3</v>
      </c>
      <c r="R17" s="105">
        <f t="shared" ref="R17:S17" si="47">1</f>
        <v>1</v>
      </c>
      <c r="S17" s="105">
        <f t="shared" si="47"/>
        <v>1</v>
      </c>
      <c r="T17" s="109">
        <f t="shared" si="4"/>
        <v>80</v>
      </c>
      <c r="X17" s="104" t="s">
        <v>51</v>
      </c>
      <c r="Y17" s="92">
        <v>28.0</v>
      </c>
      <c r="Z17" s="92">
        <v>30.0</v>
      </c>
      <c r="AA17" s="92">
        <v>32.0</v>
      </c>
      <c r="AB17" s="92">
        <v>34.0</v>
      </c>
      <c r="AC17" s="92">
        <v>36.0</v>
      </c>
      <c r="AD17" s="92">
        <v>38.0</v>
      </c>
      <c r="AE17" s="92">
        <v>40.0</v>
      </c>
      <c r="AF17" s="92"/>
      <c r="AG17" s="92"/>
      <c r="AH17" s="95">
        <v>28.0</v>
      </c>
      <c r="AI17" s="95">
        <v>30.0</v>
      </c>
      <c r="AJ17" s="95">
        <v>32.0</v>
      </c>
      <c r="AK17" s="95">
        <v>34.0</v>
      </c>
      <c r="AL17" s="95">
        <v>36.0</v>
      </c>
      <c r="AM17" s="95">
        <v>38.0</v>
      </c>
      <c r="AN17" s="95">
        <v>40.0</v>
      </c>
      <c r="AO17" s="95"/>
      <c r="AP17" s="95"/>
      <c r="AQ17" s="95"/>
      <c r="AU17" s="104"/>
      <c r="AV17" s="101" t="s">
        <v>4</v>
      </c>
      <c r="AW17" s="101" t="s">
        <v>53</v>
      </c>
      <c r="AX17" s="101" t="s">
        <v>54</v>
      </c>
      <c r="AY17" s="101" t="s">
        <v>55</v>
      </c>
      <c r="AZ17" s="101" t="s">
        <v>56</v>
      </c>
      <c r="BA17" s="101" t="s">
        <v>9</v>
      </c>
      <c r="BB17" s="101" t="s">
        <v>10</v>
      </c>
      <c r="BC17" s="101" t="s">
        <v>11</v>
      </c>
      <c r="BD17" s="102" t="s">
        <v>12</v>
      </c>
      <c r="BE17" s="103" t="s">
        <v>4</v>
      </c>
      <c r="BF17" s="100" t="s">
        <v>5</v>
      </c>
      <c r="BG17" s="100" t="s">
        <v>54</v>
      </c>
      <c r="BH17" s="100" t="s">
        <v>55</v>
      </c>
      <c r="BI17" s="100" t="s">
        <v>56</v>
      </c>
      <c r="BJ17" s="100" t="s">
        <v>9</v>
      </c>
      <c r="BK17" s="100" t="s">
        <v>10</v>
      </c>
      <c r="BL17" s="100" t="s">
        <v>11</v>
      </c>
      <c r="BM17" s="100" t="s">
        <v>12</v>
      </c>
      <c r="BN17" s="99"/>
      <c r="BO17" s="130"/>
    </row>
    <row r="18" ht="15.0" customHeight="1">
      <c r="A18" s="84" t="s">
        <v>66</v>
      </c>
      <c r="B18" s="105">
        <f t="shared" ref="B18:B19" si="57">2+1</f>
        <v>3</v>
      </c>
      <c r="C18" s="105">
        <f t="shared" si="48"/>
        <v>3</v>
      </c>
      <c r="D18" s="105">
        <f>3</f>
        <v>3</v>
      </c>
      <c r="E18" s="105">
        <f>8</f>
        <v>8</v>
      </c>
      <c r="F18" s="105">
        <f t="shared" ref="F18:H18" si="49">2+1</f>
        <v>3</v>
      </c>
      <c r="G18" s="105">
        <f t="shared" si="49"/>
        <v>3</v>
      </c>
      <c r="H18" s="105">
        <f t="shared" si="49"/>
        <v>3</v>
      </c>
      <c r="I18" s="105">
        <f t="shared" ref="I18:J18" si="50">1</f>
        <v>1</v>
      </c>
      <c r="J18" s="106">
        <f t="shared" si="50"/>
        <v>1</v>
      </c>
      <c r="K18" s="107">
        <f t="shared" ref="K18:K19" si="60">3</f>
        <v>3</v>
      </c>
      <c r="L18" s="105">
        <f>4</f>
        <v>4</v>
      </c>
      <c r="M18" s="105">
        <f>12</f>
        <v>12</v>
      </c>
      <c r="N18" s="105">
        <f>17</f>
        <v>17</v>
      </c>
      <c r="O18" s="105">
        <f t="shared" si="51"/>
        <v>8</v>
      </c>
      <c r="P18" s="105">
        <f t="shared" si="52"/>
        <v>6</v>
      </c>
      <c r="Q18" s="105">
        <f t="shared" si="53"/>
        <v>3</v>
      </c>
      <c r="R18" s="105">
        <f t="shared" ref="R18:S18" si="54">1</f>
        <v>1</v>
      </c>
      <c r="S18" s="105">
        <f t="shared" si="54"/>
        <v>1</v>
      </c>
      <c r="T18" s="109">
        <f t="shared" si="4"/>
        <v>83</v>
      </c>
      <c r="X18" s="104"/>
      <c r="Y18" s="111" t="s">
        <v>4</v>
      </c>
      <c r="Z18" s="111" t="s">
        <v>53</v>
      </c>
      <c r="AA18" s="111" t="s">
        <v>54</v>
      </c>
      <c r="AB18" s="111" t="s">
        <v>55</v>
      </c>
      <c r="AC18" s="111" t="s">
        <v>56</v>
      </c>
      <c r="AD18" s="111" t="s">
        <v>9</v>
      </c>
      <c r="AE18" s="111" t="s">
        <v>10</v>
      </c>
      <c r="AF18" s="111" t="s">
        <v>11</v>
      </c>
      <c r="AG18" s="112" t="s">
        <v>12</v>
      </c>
      <c r="AH18" s="113" t="s">
        <v>4</v>
      </c>
      <c r="AI18" s="111" t="s">
        <v>5</v>
      </c>
      <c r="AJ18" s="111" t="s">
        <v>54</v>
      </c>
      <c r="AK18" s="111" t="s">
        <v>55</v>
      </c>
      <c r="AL18" s="111" t="s">
        <v>56</v>
      </c>
      <c r="AM18" s="111" t="s">
        <v>9</v>
      </c>
      <c r="AN18" s="111" t="s">
        <v>10</v>
      </c>
      <c r="AO18" s="111" t="s">
        <v>11</v>
      </c>
      <c r="AP18" s="111" t="s">
        <v>12</v>
      </c>
      <c r="AQ18" s="114" t="s">
        <v>52</v>
      </c>
      <c r="AU18" s="104" t="s">
        <v>13</v>
      </c>
      <c r="AV18" s="108">
        <f t="shared" ref="AV18:AW18" si="55">0+1</f>
        <v>1</v>
      </c>
      <c r="AW18" s="108">
        <f t="shared" si="55"/>
        <v>1</v>
      </c>
      <c r="AX18" s="108">
        <f>0</f>
        <v>0</v>
      </c>
      <c r="AY18" s="108">
        <f>0+3</f>
        <v>3</v>
      </c>
      <c r="AZ18" s="108">
        <f t="shared" ref="AZ18:AZ19" si="66">0+2</f>
        <v>2</v>
      </c>
      <c r="BA18" s="108">
        <f t="shared" ref="BA18:BA19" si="67">0+3</f>
        <v>3</v>
      </c>
      <c r="BB18" s="108">
        <f t="shared" ref="BB18:BB19" si="68">0+1</f>
        <v>1</v>
      </c>
      <c r="BC18" s="108">
        <f>0+2</f>
        <v>2</v>
      </c>
      <c r="BD18" s="108">
        <f>0+1</f>
        <v>1</v>
      </c>
      <c r="BE18" s="108">
        <f>0</f>
        <v>0</v>
      </c>
      <c r="BF18" s="108">
        <f>0+2</f>
        <v>2</v>
      </c>
      <c r="BG18" s="108">
        <f t="shared" ref="BG18:BI18" si="56">0</f>
        <v>0</v>
      </c>
      <c r="BH18" s="108">
        <f t="shared" si="56"/>
        <v>0</v>
      </c>
      <c r="BI18" s="108">
        <f t="shared" si="56"/>
        <v>0</v>
      </c>
      <c r="BJ18" s="108">
        <f>0+3</f>
        <v>3</v>
      </c>
      <c r="BK18" s="108">
        <f>0+2</f>
        <v>2</v>
      </c>
      <c r="BL18" s="108">
        <f>0+1</f>
        <v>1</v>
      </c>
      <c r="BM18" s="108">
        <f>0+2</f>
        <v>2</v>
      </c>
      <c r="BN18" s="114">
        <f t="shared" ref="BN18:BN19" si="71">SUM(AV18:BM18)</f>
        <v>24</v>
      </c>
      <c r="BO18" s="130"/>
    </row>
    <row r="19" ht="15.0" customHeight="1">
      <c r="A19" s="84" t="s">
        <v>22</v>
      </c>
      <c r="B19" s="105">
        <f t="shared" si="57"/>
        <v>3</v>
      </c>
      <c r="C19" s="105">
        <f>2+1</f>
        <v>3</v>
      </c>
      <c r="D19" s="105">
        <f>4</f>
        <v>4</v>
      </c>
      <c r="E19" s="105">
        <f>10</f>
        <v>10</v>
      </c>
      <c r="F19" s="105">
        <f t="shared" ref="F19:H19" si="58">2+1</f>
        <v>3</v>
      </c>
      <c r="G19" s="105">
        <f t="shared" si="58"/>
        <v>3</v>
      </c>
      <c r="H19" s="105">
        <f t="shared" si="58"/>
        <v>3</v>
      </c>
      <c r="I19" s="105">
        <f t="shared" ref="I19:J19" si="59">1</f>
        <v>1</v>
      </c>
      <c r="J19" s="106">
        <f t="shared" si="59"/>
        <v>1</v>
      </c>
      <c r="K19" s="107">
        <f t="shared" si="60"/>
        <v>3</v>
      </c>
      <c r="L19" s="105">
        <f>5</f>
        <v>5</v>
      </c>
      <c r="M19" s="105">
        <f>10</f>
        <v>10</v>
      </c>
      <c r="N19" s="105">
        <f>16</f>
        <v>16</v>
      </c>
      <c r="O19" s="105">
        <f t="shared" si="51"/>
        <v>8</v>
      </c>
      <c r="P19" s="105">
        <f t="shared" si="52"/>
        <v>6</v>
      </c>
      <c r="Q19" s="105">
        <f t="shared" si="53"/>
        <v>3</v>
      </c>
      <c r="R19" s="105">
        <f t="shared" ref="R19:S19" si="61">1</f>
        <v>1</v>
      </c>
      <c r="S19" s="105">
        <f t="shared" si="61"/>
        <v>1</v>
      </c>
      <c r="T19" s="109">
        <f t="shared" si="4"/>
        <v>84</v>
      </c>
      <c r="X19" s="104" t="s">
        <v>67</v>
      </c>
      <c r="Y19" s="108">
        <f t="shared" ref="Y19:Z19" si="62">0+4</f>
        <v>4</v>
      </c>
      <c r="Z19" s="108">
        <f t="shared" si="62"/>
        <v>4</v>
      </c>
      <c r="AA19" s="108">
        <f>0+2</f>
        <v>2</v>
      </c>
      <c r="AB19" s="108">
        <f t="shared" ref="AB19:AG19" si="63">0+3</f>
        <v>3</v>
      </c>
      <c r="AC19" s="108">
        <f t="shared" si="63"/>
        <v>3</v>
      </c>
      <c r="AD19" s="108">
        <f t="shared" si="63"/>
        <v>3</v>
      </c>
      <c r="AE19" s="108">
        <f t="shared" si="63"/>
        <v>3</v>
      </c>
      <c r="AF19" s="108">
        <f t="shared" si="63"/>
        <v>3</v>
      </c>
      <c r="AG19" s="108">
        <f t="shared" si="63"/>
        <v>3</v>
      </c>
      <c r="AH19" s="108">
        <f>0+4</f>
        <v>4</v>
      </c>
      <c r="AI19" s="108">
        <f>0+1</f>
        <v>1</v>
      </c>
      <c r="AJ19" s="108">
        <f>0</f>
        <v>0</v>
      </c>
      <c r="AK19" s="108">
        <f>0+1</f>
        <v>1</v>
      </c>
      <c r="AL19" s="108">
        <f>0+1-1</f>
        <v>0</v>
      </c>
      <c r="AM19" s="108">
        <f>0+2-1</f>
        <v>1</v>
      </c>
      <c r="AN19" s="108">
        <f>0+2+1</f>
        <v>3</v>
      </c>
      <c r="AO19" s="108">
        <f t="shared" ref="AO19:AO20" si="74">0+2</f>
        <v>2</v>
      </c>
      <c r="AP19" s="108">
        <f>0+1</f>
        <v>1</v>
      </c>
      <c r="AQ19" s="114">
        <f t="shared" ref="AQ19:AQ25" si="75">SUM(Y19:AP19)</f>
        <v>41</v>
      </c>
      <c r="AU19" s="104" t="s">
        <v>14</v>
      </c>
      <c r="AV19" s="108">
        <f t="shared" ref="AV19:AW19" si="64">0+4</f>
        <v>4</v>
      </c>
      <c r="AW19" s="108">
        <f t="shared" si="64"/>
        <v>4</v>
      </c>
      <c r="AX19" s="108">
        <f t="shared" ref="AX19:AY19" si="65">0+1</f>
        <v>1</v>
      </c>
      <c r="AY19" s="108">
        <f t="shared" si="65"/>
        <v>1</v>
      </c>
      <c r="AZ19" s="108">
        <f t="shared" si="66"/>
        <v>2</v>
      </c>
      <c r="BA19" s="108">
        <f t="shared" si="67"/>
        <v>3</v>
      </c>
      <c r="BB19" s="108">
        <f t="shared" si="68"/>
        <v>1</v>
      </c>
      <c r="BC19" s="108">
        <f t="shared" ref="BC19:BD19" si="69">0+1</f>
        <v>1</v>
      </c>
      <c r="BD19" s="108">
        <f t="shared" si="69"/>
        <v>1</v>
      </c>
      <c r="BE19" s="108">
        <f>0+4</f>
        <v>4</v>
      </c>
      <c r="BF19" s="108">
        <f>0+5</f>
        <v>5</v>
      </c>
      <c r="BG19" s="108">
        <f t="shared" ref="BG19:BI19" si="70">0</f>
        <v>0</v>
      </c>
      <c r="BH19" s="108">
        <f t="shared" si="70"/>
        <v>0</v>
      </c>
      <c r="BI19" s="108">
        <f t="shared" si="70"/>
        <v>0</v>
      </c>
      <c r="BJ19" s="108">
        <f>0+2</f>
        <v>2</v>
      </c>
      <c r="BK19" s="108">
        <f>0+3</f>
        <v>3</v>
      </c>
      <c r="BL19" s="108">
        <f>0</f>
        <v>0</v>
      </c>
      <c r="BM19" s="108">
        <f>0+1</f>
        <v>1</v>
      </c>
      <c r="BN19" s="114">
        <f t="shared" si="71"/>
        <v>33</v>
      </c>
      <c r="BO19" s="130"/>
    </row>
    <row r="20" ht="15.0" customHeight="1">
      <c r="A20" s="119"/>
      <c r="B20" s="120"/>
      <c r="C20" s="120"/>
      <c r="D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>
        <f>SUM(T7:T19)</f>
        <v>858</v>
      </c>
      <c r="X20" s="104" t="s">
        <v>58</v>
      </c>
      <c r="Y20" s="108">
        <f>0+2</f>
        <v>2</v>
      </c>
      <c r="Z20" s="108">
        <f>0+1</f>
        <v>1</v>
      </c>
      <c r="AA20" s="108">
        <f>0+1+2</f>
        <v>3</v>
      </c>
      <c r="AB20" s="108">
        <f>0+1</f>
        <v>1</v>
      </c>
      <c r="AC20" s="108">
        <f>0+2</f>
        <v>2</v>
      </c>
      <c r="AD20" s="108">
        <f>0+3</f>
        <v>3</v>
      </c>
      <c r="AE20" s="108">
        <f>0+2</f>
        <v>2</v>
      </c>
      <c r="AF20" s="108">
        <f t="shared" ref="AF20:AI20" si="72">0</f>
        <v>0</v>
      </c>
      <c r="AG20" s="108">
        <f t="shared" si="72"/>
        <v>0</v>
      </c>
      <c r="AH20" s="108">
        <f t="shared" si="72"/>
        <v>0</v>
      </c>
      <c r="AI20" s="108">
        <f t="shared" si="72"/>
        <v>0</v>
      </c>
      <c r="AJ20" s="108">
        <f>0+1-1</f>
        <v>0</v>
      </c>
      <c r="AK20" s="108">
        <f>0+3-1</f>
        <v>2</v>
      </c>
      <c r="AL20" s="108">
        <f t="shared" ref="AL20:AM20" si="73">0+1</f>
        <v>1</v>
      </c>
      <c r="AM20" s="108">
        <f t="shared" si="73"/>
        <v>1</v>
      </c>
      <c r="AN20" s="108">
        <f>0</f>
        <v>0</v>
      </c>
      <c r="AO20" s="108">
        <f t="shared" si="74"/>
        <v>2</v>
      </c>
      <c r="AP20" s="108">
        <f>0+3</f>
        <v>3</v>
      </c>
      <c r="AQ20" s="114">
        <f t="shared" si="75"/>
        <v>23</v>
      </c>
      <c r="AU20" s="119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1">
        <f>SUM(BN18:BN19)</f>
        <v>57</v>
      </c>
      <c r="BO20" s="130"/>
    </row>
    <row r="21" ht="15.0" customHeight="1">
      <c r="X21" s="104" t="s">
        <v>44</v>
      </c>
      <c r="Y21" s="108">
        <f t="shared" ref="Y21:AC21" si="76">0</f>
        <v>0</v>
      </c>
      <c r="Z21" s="108">
        <f t="shared" si="76"/>
        <v>0</v>
      </c>
      <c r="AA21" s="108">
        <f t="shared" si="76"/>
        <v>0</v>
      </c>
      <c r="AB21" s="108">
        <f t="shared" si="76"/>
        <v>0</v>
      </c>
      <c r="AC21" s="108">
        <f t="shared" si="76"/>
        <v>0</v>
      </c>
      <c r="AD21" s="108">
        <f t="shared" ref="AD21:AF21" si="77">0+2</f>
        <v>2</v>
      </c>
      <c r="AE21" s="108">
        <f t="shared" si="77"/>
        <v>2</v>
      </c>
      <c r="AF21" s="108">
        <f t="shared" si="77"/>
        <v>2</v>
      </c>
      <c r="AG21" s="108">
        <f>0</f>
        <v>0</v>
      </c>
      <c r="AH21" s="108">
        <f t="shared" ref="AH21:AI21" si="78">0+2</f>
        <v>2</v>
      </c>
      <c r="AI21" s="108">
        <f t="shared" si="78"/>
        <v>2</v>
      </c>
      <c r="AJ21" s="108">
        <f>0+1</f>
        <v>1</v>
      </c>
      <c r="AK21" s="108">
        <f t="shared" ref="AK21:AP21" si="79">0</f>
        <v>0</v>
      </c>
      <c r="AL21" s="108">
        <f t="shared" si="79"/>
        <v>0</v>
      </c>
      <c r="AM21" s="108">
        <f t="shared" si="79"/>
        <v>0</v>
      </c>
      <c r="AN21" s="108">
        <f t="shared" si="79"/>
        <v>0</v>
      </c>
      <c r="AO21" s="108">
        <f t="shared" si="79"/>
        <v>0</v>
      </c>
      <c r="AP21" s="108">
        <f t="shared" si="79"/>
        <v>0</v>
      </c>
      <c r="AQ21" s="114">
        <f t="shared" si="75"/>
        <v>11</v>
      </c>
      <c r="AU21" s="119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31"/>
      <c r="BH21" s="120"/>
      <c r="BI21" s="120"/>
      <c r="BJ21" s="120"/>
      <c r="BK21" s="120"/>
      <c r="BL21" s="120"/>
      <c r="BM21" s="120"/>
      <c r="BN21" s="123"/>
    </row>
    <row r="22" ht="15.0" customHeight="1">
      <c r="X22" s="104" t="s">
        <v>68</v>
      </c>
      <c r="Y22" s="108">
        <f>0+3</f>
        <v>3</v>
      </c>
      <c r="Z22" s="108">
        <f>0+2</f>
        <v>2</v>
      </c>
      <c r="AA22" s="108">
        <f>0</f>
        <v>0</v>
      </c>
      <c r="AB22" s="108">
        <f t="shared" ref="AB22:AB23" si="82">0+1</f>
        <v>1</v>
      </c>
      <c r="AC22" s="108">
        <f t="shared" ref="AC22:AG22" si="80">0</f>
        <v>0</v>
      </c>
      <c r="AD22" s="108">
        <f t="shared" si="80"/>
        <v>0</v>
      </c>
      <c r="AE22" s="108">
        <f t="shared" si="80"/>
        <v>0</v>
      </c>
      <c r="AF22" s="108">
        <f t="shared" si="80"/>
        <v>0</v>
      </c>
      <c r="AG22" s="108">
        <f t="shared" si="80"/>
        <v>0</v>
      </c>
      <c r="AH22" s="108">
        <f>0+2</f>
        <v>2</v>
      </c>
      <c r="AI22" s="108">
        <f>0+1</f>
        <v>1</v>
      </c>
      <c r="AJ22" s="108">
        <f t="shared" ref="AJ22:AO22" si="81">0</f>
        <v>0</v>
      </c>
      <c r="AK22" s="108">
        <f t="shared" si="81"/>
        <v>0</v>
      </c>
      <c r="AL22" s="108">
        <f t="shared" si="81"/>
        <v>0</v>
      </c>
      <c r="AM22" s="108">
        <f t="shared" si="81"/>
        <v>0</v>
      </c>
      <c r="AN22" s="108">
        <f t="shared" si="81"/>
        <v>0</v>
      </c>
      <c r="AO22" s="108">
        <f t="shared" si="81"/>
        <v>0</v>
      </c>
      <c r="AP22" s="108">
        <f>0+2</f>
        <v>2</v>
      </c>
      <c r="AQ22" s="114">
        <f t="shared" si="75"/>
        <v>11</v>
      </c>
      <c r="AU22" s="83" t="s">
        <v>69</v>
      </c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8"/>
    </row>
    <row r="23" ht="18.75" customHeight="1">
      <c r="A23" s="83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X23" s="104" t="s">
        <v>16</v>
      </c>
      <c r="Y23" s="108">
        <f>0</f>
        <v>0</v>
      </c>
      <c r="Z23" s="108">
        <f>0+3</f>
        <v>3</v>
      </c>
      <c r="AA23" s="108">
        <f>0+2</f>
        <v>2</v>
      </c>
      <c r="AB23" s="108">
        <f t="shared" si="82"/>
        <v>1</v>
      </c>
      <c r="AC23" s="108">
        <f t="shared" ref="AC23:AD23" si="83">0+2</f>
        <v>2</v>
      </c>
      <c r="AD23" s="108">
        <f t="shared" si="83"/>
        <v>2</v>
      </c>
      <c r="AE23" s="108">
        <f t="shared" ref="AE23:AF23" si="84">0</f>
        <v>0</v>
      </c>
      <c r="AF23" s="108">
        <f t="shared" si="84"/>
        <v>0</v>
      </c>
      <c r="AG23" s="108">
        <f t="shared" ref="AG23:AG24" si="88">0+2</f>
        <v>2</v>
      </c>
      <c r="AH23" s="108">
        <f>0+3</f>
        <v>3</v>
      </c>
      <c r="AI23" s="108">
        <f>0+2</f>
        <v>2</v>
      </c>
      <c r="AJ23" s="108">
        <f>0+1</f>
        <v>1</v>
      </c>
      <c r="AK23" s="108">
        <f t="shared" ref="AK23:AL23" si="85">0</f>
        <v>0</v>
      </c>
      <c r="AL23" s="108">
        <f t="shared" si="85"/>
        <v>0</v>
      </c>
      <c r="AM23" s="108">
        <f>0+1</f>
        <v>1</v>
      </c>
      <c r="AN23" s="108">
        <f>0+3</f>
        <v>3</v>
      </c>
      <c r="AO23" s="108">
        <f t="shared" ref="AO23:AP23" si="86">0+1</f>
        <v>1</v>
      </c>
      <c r="AP23" s="108">
        <f t="shared" si="86"/>
        <v>1</v>
      </c>
      <c r="AQ23" s="114">
        <f t="shared" si="75"/>
        <v>24</v>
      </c>
      <c r="AU23" s="90"/>
      <c r="AV23" s="91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</row>
    <row r="24" ht="15.75" customHeight="1">
      <c r="A24" s="84"/>
      <c r="B24" s="85" t="s">
        <v>1</v>
      </c>
      <c r="C24" s="7"/>
      <c r="D24" s="7"/>
      <c r="E24" s="7"/>
      <c r="F24" s="7"/>
      <c r="G24" s="7"/>
      <c r="H24" s="7"/>
      <c r="I24" s="7"/>
      <c r="J24" s="8"/>
      <c r="K24" s="86" t="s">
        <v>2</v>
      </c>
      <c r="L24" s="7"/>
      <c r="M24" s="7"/>
      <c r="N24" s="7"/>
      <c r="O24" s="7"/>
      <c r="P24" s="7"/>
      <c r="Q24" s="7"/>
      <c r="R24" s="7"/>
      <c r="S24" s="7"/>
      <c r="T24" s="8"/>
      <c r="W24" s="132" t="s">
        <v>60</v>
      </c>
      <c r="X24" s="104" t="s">
        <v>71</v>
      </c>
      <c r="Y24" s="108">
        <f>0+2</f>
        <v>2</v>
      </c>
      <c r="Z24" s="108">
        <f>0</f>
        <v>0</v>
      </c>
      <c r="AA24" s="108">
        <f>0+1</f>
        <v>1</v>
      </c>
      <c r="AB24" s="108">
        <f t="shared" ref="AB24:AE24" si="87">0</f>
        <v>0</v>
      </c>
      <c r="AC24" s="108">
        <f t="shared" si="87"/>
        <v>0</v>
      </c>
      <c r="AD24" s="108">
        <f t="shared" si="87"/>
        <v>0</v>
      </c>
      <c r="AE24" s="108">
        <f t="shared" si="87"/>
        <v>0</v>
      </c>
      <c r="AF24" s="108">
        <f>0+3</f>
        <v>3</v>
      </c>
      <c r="AG24" s="108">
        <f t="shared" si="88"/>
        <v>2</v>
      </c>
      <c r="AH24" s="108">
        <f>0+2</f>
        <v>2</v>
      </c>
      <c r="AI24" s="108">
        <f t="shared" ref="AI24:AJ24" si="89">0+4-1+1</f>
        <v>4</v>
      </c>
      <c r="AJ24" s="108">
        <f t="shared" si="89"/>
        <v>4</v>
      </c>
      <c r="AK24" s="108">
        <f>0+1-1+1</f>
        <v>1</v>
      </c>
      <c r="AL24" s="108">
        <f t="shared" ref="AL24:AM24" si="90">0+3</f>
        <v>3</v>
      </c>
      <c r="AM24" s="108">
        <f t="shared" si="90"/>
        <v>3</v>
      </c>
      <c r="AN24" s="108">
        <f t="shared" ref="AN24:AP24" si="91">0+1</f>
        <v>1</v>
      </c>
      <c r="AO24" s="108">
        <f t="shared" si="91"/>
        <v>1</v>
      </c>
      <c r="AP24" s="108">
        <f t="shared" si="91"/>
        <v>1</v>
      </c>
      <c r="AQ24" s="114">
        <f t="shared" si="75"/>
        <v>28</v>
      </c>
      <c r="AU24" s="99"/>
      <c r="AV24" s="85" t="s">
        <v>1</v>
      </c>
      <c r="AW24" s="7"/>
      <c r="AX24" s="7"/>
      <c r="AY24" s="7"/>
      <c r="AZ24" s="7"/>
      <c r="BA24" s="7"/>
      <c r="BB24" s="7"/>
      <c r="BC24" s="7"/>
      <c r="BD24" s="8"/>
      <c r="BE24" s="100"/>
      <c r="BF24" s="100"/>
      <c r="BG24" s="86" t="s">
        <v>2</v>
      </c>
      <c r="BH24" s="7"/>
      <c r="BI24" s="7"/>
      <c r="BJ24" s="7"/>
      <c r="BK24" s="7"/>
      <c r="BL24" s="7"/>
      <c r="BM24" s="7"/>
      <c r="BN24" s="8"/>
    </row>
    <row r="25" ht="15.0" customHeight="1">
      <c r="A25" s="84" t="s">
        <v>51</v>
      </c>
      <c r="B25" s="92">
        <v>28.0</v>
      </c>
      <c r="C25" s="92">
        <v>30.0</v>
      </c>
      <c r="D25" s="92">
        <v>32.0</v>
      </c>
      <c r="E25" s="92">
        <v>34.0</v>
      </c>
      <c r="F25" s="92">
        <v>36.0</v>
      </c>
      <c r="G25" s="92">
        <v>38.0</v>
      </c>
      <c r="H25" s="92">
        <v>40.0</v>
      </c>
      <c r="I25" s="92"/>
      <c r="J25" s="93"/>
      <c r="K25" s="94">
        <v>28.0</v>
      </c>
      <c r="L25" s="95">
        <v>30.0</v>
      </c>
      <c r="M25" s="95">
        <v>32.0</v>
      </c>
      <c r="N25" s="95">
        <v>34.0</v>
      </c>
      <c r="O25" s="95">
        <v>36.0</v>
      </c>
      <c r="P25" s="95">
        <v>38.0</v>
      </c>
      <c r="Q25" s="95">
        <v>40.0</v>
      </c>
      <c r="R25" s="95"/>
      <c r="S25" s="95"/>
      <c r="T25" s="96" t="s">
        <v>52</v>
      </c>
      <c r="X25" s="133" t="s">
        <v>72</v>
      </c>
      <c r="Y25" s="108">
        <f t="shared" ref="Y25:AP25" si="92">0</f>
        <v>0</v>
      </c>
      <c r="Z25" s="108">
        <f t="shared" si="92"/>
        <v>0</v>
      </c>
      <c r="AA25" s="108">
        <f t="shared" si="92"/>
        <v>0</v>
      </c>
      <c r="AB25" s="108">
        <f t="shared" si="92"/>
        <v>0</v>
      </c>
      <c r="AC25" s="108">
        <f t="shared" si="92"/>
        <v>0</v>
      </c>
      <c r="AD25" s="108">
        <f t="shared" si="92"/>
        <v>0</v>
      </c>
      <c r="AE25" s="108">
        <f t="shared" si="92"/>
        <v>0</v>
      </c>
      <c r="AF25" s="108">
        <f t="shared" si="92"/>
        <v>0</v>
      </c>
      <c r="AG25" s="108">
        <f t="shared" si="92"/>
        <v>0</v>
      </c>
      <c r="AH25" s="108">
        <f t="shared" si="92"/>
        <v>0</v>
      </c>
      <c r="AI25" s="108">
        <f t="shared" si="92"/>
        <v>0</v>
      </c>
      <c r="AJ25" s="108">
        <f t="shared" si="92"/>
        <v>0</v>
      </c>
      <c r="AK25" s="108">
        <f t="shared" si="92"/>
        <v>0</v>
      </c>
      <c r="AL25" s="108">
        <f t="shared" si="92"/>
        <v>0</v>
      </c>
      <c r="AM25" s="108">
        <f t="shared" si="92"/>
        <v>0</v>
      </c>
      <c r="AN25" s="108">
        <f t="shared" si="92"/>
        <v>0</v>
      </c>
      <c r="AO25" s="108">
        <f t="shared" si="92"/>
        <v>0</v>
      </c>
      <c r="AP25" s="108">
        <f t="shared" si="92"/>
        <v>0</v>
      </c>
      <c r="AQ25" s="114">
        <f t="shared" si="75"/>
        <v>0</v>
      </c>
      <c r="AU25" s="134" t="s">
        <v>51</v>
      </c>
      <c r="AV25" s="92">
        <v>28.0</v>
      </c>
      <c r="AW25" s="92">
        <v>30.0</v>
      </c>
      <c r="AX25" s="92">
        <v>32.0</v>
      </c>
      <c r="AY25" s="92">
        <v>34.0</v>
      </c>
      <c r="AZ25" s="92">
        <v>36.0</v>
      </c>
      <c r="BA25" s="92">
        <v>38.0</v>
      </c>
      <c r="BB25" s="92">
        <v>40.0</v>
      </c>
      <c r="BC25" s="92">
        <v>42.0</v>
      </c>
      <c r="BD25" s="93">
        <v>44.0</v>
      </c>
      <c r="BE25" s="94">
        <v>28.0</v>
      </c>
      <c r="BF25" s="95">
        <v>30.0</v>
      </c>
      <c r="BG25" s="95">
        <v>32.0</v>
      </c>
      <c r="BH25" s="95">
        <v>34.0</v>
      </c>
      <c r="BI25" s="95">
        <v>36.0</v>
      </c>
      <c r="BJ25" s="95">
        <v>38.0</v>
      </c>
      <c r="BK25" s="95">
        <v>40.0</v>
      </c>
      <c r="BL25" s="95">
        <v>42.0</v>
      </c>
      <c r="BM25" s="95">
        <v>44.0</v>
      </c>
      <c r="BN25" s="96" t="s">
        <v>52</v>
      </c>
      <c r="BO25" s="135"/>
    </row>
    <row r="26" ht="15.0" customHeight="1">
      <c r="A26" s="84"/>
      <c r="B26" s="101" t="s">
        <v>4</v>
      </c>
      <c r="C26" s="101" t="s">
        <v>53</v>
      </c>
      <c r="D26" s="101" t="s">
        <v>54</v>
      </c>
      <c r="E26" s="101" t="s">
        <v>55</v>
      </c>
      <c r="F26" s="101" t="s">
        <v>56</v>
      </c>
      <c r="G26" s="101" t="s">
        <v>9</v>
      </c>
      <c r="H26" s="101" t="s">
        <v>10</v>
      </c>
      <c r="I26" s="101" t="s">
        <v>11</v>
      </c>
      <c r="J26" s="102" t="s">
        <v>12</v>
      </c>
      <c r="K26" s="103" t="s">
        <v>4</v>
      </c>
      <c r="L26" s="100" t="s">
        <v>53</v>
      </c>
      <c r="M26" s="100" t="s">
        <v>54</v>
      </c>
      <c r="N26" s="100" t="s">
        <v>55</v>
      </c>
      <c r="O26" s="100" t="s">
        <v>56</v>
      </c>
      <c r="P26" s="100" t="s">
        <v>9</v>
      </c>
      <c r="Q26" s="100" t="s">
        <v>10</v>
      </c>
      <c r="R26" s="100" t="s">
        <v>11</v>
      </c>
      <c r="S26" s="100" t="s">
        <v>12</v>
      </c>
      <c r="T26" s="99"/>
      <c r="X26" s="119"/>
      <c r="Y26" s="120"/>
      <c r="Z26" s="120"/>
      <c r="AA26" s="120"/>
      <c r="AB26" s="120"/>
      <c r="AC26" s="136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1">
        <f>SUM(AQ19:AQ25)</f>
        <v>138</v>
      </c>
      <c r="AU26" s="134"/>
      <c r="AV26" s="101" t="s">
        <v>4</v>
      </c>
      <c r="AW26" s="101" t="s">
        <v>53</v>
      </c>
      <c r="AX26" s="101" t="s">
        <v>54</v>
      </c>
      <c r="AY26" s="101" t="s">
        <v>55</v>
      </c>
      <c r="AZ26" s="101" t="s">
        <v>56</v>
      </c>
      <c r="BA26" s="101" t="s">
        <v>9</v>
      </c>
      <c r="BB26" s="101" t="s">
        <v>10</v>
      </c>
      <c r="BC26" s="101" t="s">
        <v>11</v>
      </c>
      <c r="BD26" s="102" t="s">
        <v>12</v>
      </c>
      <c r="BE26" s="103" t="s">
        <v>4</v>
      </c>
      <c r="BF26" s="100" t="s">
        <v>53</v>
      </c>
      <c r="BG26" s="100" t="s">
        <v>54</v>
      </c>
      <c r="BH26" s="100" t="s">
        <v>55</v>
      </c>
      <c r="BI26" s="100" t="s">
        <v>56</v>
      </c>
      <c r="BJ26" s="100" t="s">
        <v>9</v>
      </c>
      <c r="BK26" s="100" t="s">
        <v>10</v>
      </c>
      <c r="BL26" s="100" t="s">
        <v>11</v>
      </c>
      <c r="BM26" s="100" t="s">
        <v>12</v>
      </c>
      <c r="BN26" s="99"/>
      <c r="BO26" s="135"/>
    </row>
    <row r="27" ht="15.0" customHeight="1">
      <c r="A27" s="84" t="s">
        <v>15</v>
      </c>
      <c r="B27" s="121">
        <f>3-1</f>
        <v>2</v>
      </c>
      <c r="C27" s="121">
        <f>4</f>
        <v>4</v>
      </c>
      <c r="D27" s="108">
        <f>0</f>
        <v>0</v>
      </c>
      <c r="E27" s="121">
        <f>2</f>
        <v>2</v>
      </c>
      <c r="F27" s="121">
        <f>3</f>
        <v>3</v>
      </c>
      <c r="G27" s="108">
        <f>0</f>
        <v>0</v>
      </c>
      <c r="H27" s="121">
        <f>1</f>
        <v>1</v>
      </c>
      <c r="I27" s="121">
        <f t="shared" ref="I27:J27" si="93">2</f>
        <v>2</v>
      </c>
      <c r="J27" s="137">
        <f t="shared" si="93"/>
        <v>2</v>
      </c>
      <c r="K27" s="138">
        <f>3+1</f>
        <v>4</v>
      </c>
      <c r="L27" s="121">
        <f>2-1</f>
        <v>1</v>
      </c>
      <c r="M27" s="121">
        <f>5</f>
        <v>5</v>
      </c>
      <c r="N27" s="121">
        <f>3+1</f>
        <v>4</v>
      </c>
      <c r="O27" s="121">
        <f>4-1+1</f>
        <v>4</v>
      </c>
      <c r="P27" s="121">
        <f>2+1</f>
        <v>3</v>
      </c>
      <c r="Q27" s="121">
        <f>2</f>
        <v>2</v>
      </c>
      <c r="R27" s="121">
        <f>1+1</f>
        <v>2</v>
      </c>
      <c r="S27" s="121">
        <f>2</f>
        <v>2</v>
      </c>
      <c r="T27" s="114">
        <f t="shared" ref="T27:T31" si="98">SUM(B27:S27)</f>
        <v>43</v>
      </c>
      <c r="X27" s="119"/>
      <c r="Y27" s="120"/>
      <c r="Z27" s="120"/>
      <c r="AA27" s="120"/>
      <c r="AB27" s="120"/>
      <c r="AC27" s="136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3"/>
      <c r="AU27" s="134" t="s">
        <v>13</v>
      </c>
      <c r="AV27" s="108">
        <f t="shared" ref="AV27:AW27" si="94">0+2</f>
        <v>2</v>
      </c>
      <c r="AW27" s="108">
        <f t="shared" si="94"/>
        <v>2</v>
      </c>
      <c r="AX27" s="108">
        <f>0+4</f>
        <v>4</v>
      </c>
      <c r="AY27" s="108">
        <f>0+2</f>
        <v>2</v>
      </c>
      <c r="AZ27" s="108">
        <f>0+4</f>
        <v>4</v>
      </c>
      <c r="BA27" s="108">
        <f>0</f>
        <v>0</v>
      </c>
      <c r="BB27" s="108">
        <f t="shared" ref="BB27:BB28" si="100">0+2</f>
        <v>2</v>
      </c>
      <c r="BC27" s="108">
        <f t="shared" ref="BC27:BC28" si="101">0+1</f>
        <v>1</v>
      </c>
      <c r="BD27" s="108">
        <f>0</f>
        <v>0</v>
      </c>
      <c r="BE27" s="108">
        <f>0+3</f>
        <v>3</v>
      </c>
      <c r="BF27" s="108">
        <f>0+4</f>
        <v>4</v>
      </c>
      <c r="BG27" s="108">
        <f>0</f>
        <v>0</v>
      </c>
      <c r="BH27" s="108">
        <f>0+3+1</f>
        <v>4</v>
      </c>
      <c r="BI27" s="108">
        <f>0+5</f>
        <v>5</v>
      </c>
      <c r="BJ27" s="108">
        <f t="shared" ref="BJ27:BK27" si="95">0+2</f>
        <v>2</v>
      </c>
      <c r="BK27" s="108">
        <f t="shared" si="95"/>
        <v>2</v>
      </c>
      <c r="BL27" s="108">
        <f t="shared" ref="BL27:BL28" si="104">0+1</f>
        <v>1</v>
      </c>
      <c r="BM27" s="108">
        <f>0</f>
        <v>0</v>
      </c>
      <c r="BN27" s="114">
        <f t="shared" ref="BN27:BN28" si="105">SUM(AV27:BM27)</f>
        <v>38</v>
      </c>
      <c r="BO27" s="135"/>
    </row>
    <row r="28" ht="15.0" customHeight="1">
      <c r="A28" s="84" t="s">
        <v>13</v>
      </c>
      <c r="B28" s="121">
        <f t="shared" ref="B28:E28" si="96">4</f>
        <v>4</v>
      </c>
      <c r="C28" s="121">
        <f t="shared" si="96"/>
        <v>4</v>
      </c>
      <c r="D28" s="121">
        <f t="shared" si="96"/>
        <v>4</v>
      </c>
      <c r="E28" s="121">
        <f t="shared" si="96"/>
        <v>4</v>
      </c>
      <c r="F28" s="121">
        <f>5</f>
        <v>5</v>
      </c>
      <c r="G28" s="121">
        <f>1</f>
        <v>1</v>
      </c>
      <c r="H28" s="121">
        <f>2</f>
        <v>2</v>
      </c>
      <c r="I28" s="121">
        <f>1</f>
        <v>1</v>
      </c>
      <c r="J28" s="137">
        <f>2</f>
        <v>2</v>
      </c>
      <c r="K28" s="138">
        <f>1</f>
        <v>1</v>
      </c>
      <c r="L28" s="121">
        <f>3</f>
        <v>3</v>
      </c>
      <c r="M28" s="108">
        <f>0</f>
        <v>0</v>
      </c>
      <c r="N28" s="108">
        <f>0+1</f>
        <v>1</v>
      </c>
      <c r="O28" s="108">
        <f>0</f>
        <v>0</v>
      </c>
      <c r="P28" s="108">
        <f>0+2</f>
        <v>2</v>
      </c>
      <c r="Q28" s="121">
        <f t="shared" ref="Q28:R28" si="97">1</f>
        <v>1</v>
      </c>
      <c r="R28" s="121">
        <f t="shared" si="97"/>
        <v>1</v>
      </c>
      <c r="S28" s="121">
        <f>1+1</f>
        <v>2</v>
      </c>
      <c r="T28" s="114">
        <f t="shared" si="98"/>
        <v>38</v>
      </c>
      <c r="X28" s="139"/>
      <c r="Y28" s="140"/>
      <c r="Z28" s="140"/>
      <c r="AA28" s="140"/>
      <c r="AB28" s="140"/>
      <c r="AC28" s="141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23"/>
      <c r="AU28" s="134" t="s">
        <v>14</v>
      </c>
      <c r="AV28" s="108">
        <f>0</f>
        <v>0</v>
      </c>
      <c r="AW28" s="108">
        <f>0+2</f>
        <v>2</v>
      </c>
      <c r="AX28" s="108">
        <f t="shared" ref="AX28:AY28" si="99">0+3</f>
        <v>3</v>
      </c>
      <c r="AY28" s="108">
        <f t="shared" si="99"/>
        <v>3</v>
      </c>
      <c r="AZ28" s="108">
        <f>0+2</f>
        <v>2</v>
      </c>
      <c r="BA28" s="108">
        <f>0+3</f>
        <v>3</v>
      </c>
      <c r="BB28" s="108">
        <f t="shared" si="100"/>
        <v>2</v>
      </c>
      <c r="BC28" s="108">
        <f t="shared" si="101"/>
        <v>1</v>
      </c>
      <c r="BD28" s="108">
        <f>0+2</f>
        <v>2</v>
      </c>
      <c r="BE28" s="108">
        <f t="shared" ref="BE28:BF28" si="102">0+4</f>
        <v>4</v>
      </c>
      <c r="BF28" s="108">
        <f t="shared" si="102"/>
        <v>4</v>
      </c>
      <c r="BG28" s="108">
        <f>0+2+1+1</f>
        <v>4</v>
      </c>
      <c r="BH28" s="108">
        <f t="shared" ref="BH28:BI28" si="103">0+4</f>
        <v>4</v>
      </c>
      <c r="BI28" s="108">
        <f t="shared" si="103"/>
        <v>4</v>
      </c>
      <c r="BJ28" s="108">
        <f>0+2</f>
        <v>2</v>
      </c>
      <c r="BK28" s="108">
        <f>0+3</f>
        <v>3</v>
      </c>
      <c r="BL28" s="108">
        <f t="shared" si="104"/>
        <v>1</v>
      </c>
      <c r="BM28" s="108">
        <f>0+2</f>
        <v>2</v>
      </c>
      <c r="BN28" s="114">
        <f t="shared" si="105"/>
        <v>46</v>
      </c>
      <c r="BO28" s="135"/>
    </row>
    <row r="29" ht="15.0" customHeight="1">
      <c r="A29" s="84" t="s">
        <v>14</v>
      </c>
      <c r="B29" s="121">
        <f>2-1+3</f>
        <v>4</v>
      </c>
      <c r="C29" s="121">
        <f>2-2+3</f>
        <v>3</v>
      </c>
      <c r="D29" s="121">
        <f>1-1+3</f>
        <v>3</v>
      </c>
      <c r="E29" s="121">
        <f t="shared" ref="E29:F29" si="106">2-2+3</f>
        <v>3</v>
      </c>
      <c r="F29" s="121">
        <f t="shared" si="106"/>
        <v>3</v>
      </c>
      <c r="G29" s="108">
        <f>0</f>
        <v>0</v>
      </c>
      <c r="H29" s="121">
        <f>1+1-2+2</f>
        <v>2</v>
      </c>
      <c r="I29" s="121">
        <f t="shared" ref="I29:J29" si="107">1+1-2</f>
        <v>0</v>
      </c>
      <c r="J29" s="137">
        <f t="shared" si="107"/>
        <v>0</v>
      </c>
      <c r="K29" s="138">
        <f>2-2+3</f>
        <v>3</v>
      </c>
      <c r="L29" s="121">
        <f>4-4+3</f>
        <v>3</v>
      </c>
      <c r="M29" s="121">
        <f>4-4+3-2</f>
        <v>1</v>
      </c>
      <c r="N29" s="108">
        <f>0+3-1</f>
        <v>2</v>
      </c>
      <c r="O29" s="121">
        <f>4-4+3</f>
        <v>3</v>
      </c>
      <c r="P29" s="121">
        <f>2-2+3</f>
        <v>3</v>
      </c>
      <c r="Q29" s="121">
        <f>3+1-4+2</f>
        <v>2</v>
      </c>
      <c r="R29" s="108">
        <f>0+2</f>
        <v>2</v>
      </c>
      <c r="S29" s="121">
        <f>2-2</f>
        <v>0</v>
      </c>
      <c r="T29" s="114">
        <f t="shared" si="98"/>
        <v>37</v>
      </c>
      <c r="X29" s="142" t="s">
        <v>73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  <c r="AU29" s="143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1">
        <f>SUM(BN27:BN28)</f>
        <v>84</v>
      </c>
      <c r="BO29" s="135"/>
    </row>
    <row r="30" ht="15.0" customHeight="1">
      <c r="A30" s="84" t="s">
        <v>74</v>
      </c>
      <c r="B30" s="121">
        <f>2-1+1</f>
        <v>2</v>
      </c>
      <c r="C30" s="121">
        <f>3</f>
        <v>3</v>
      </c>
      <c r="D30" s="121">
        <f t="shared" ref="D30:E30" si="108">2</f>
        <v>2</v>
      </c>
      <c r="E30" s="121">
        <f t="shared" si="108"/>
        <v>2</v>
      </c>
      <c r="F30" s="121">
        <f t="shared" ref="F30:G30" si="109">3</f>
        <v>3</v>
      </c>
      <c r="G30" s="121">
        <f t="shared" si="109"/>
        <v>3</v>
      </c>
      <c r="H30" s="121">
        <f>2</f>
        <v>2</v>
      </c>
      <c r="I30" s="121">
        <f t="shared" ref="I30:J30" si="110">1</f>
        <v>1</v>
      </c>
      <c r="J30" s="137">
        <f t="shared" si="110"/>
        <v>1</v>
      </c>
      <c r="K30" s="138">
        <f t="shared" ref="K30:L30" si="111">3</f>
        <v>3</v>
      </c>
      <c r="L30" s="121">
        <f t="shared" si="111"/>
        <v>3</v>
      </c>
      <c r="M30" s="121">
        <f t="shared" ref="M30:M31" si="115">1</f>
        <v>1</v>
      </c>
      <c r="N30" s="121">
        <f>3</f>
        <v>3</v>
      </c>
      <c r="O30" s="121">
        <f t="shared" ref="O30:S30" si="112">2</f>
        <v>2</v>
      </c>
      <c r="P30" s="121">
        <f t="shared" si="112"/>
        <v>2</v>
      </c>
      <c r="Q30" s="121">
        <f t="shared" si="112"/>
        <v>2</v>
      </c>
      <c r="R30" s="121">
        <f t="shared" si="112"/>
        <v>2</v>
      </c>
      <c r="S30" s="121">
        <f t="shared" si="112"/>
        <v>2</v>
      </c>
      <c r="T30" s="114">
        <f t="shared" si="98"/>
        <v>39</v>
      </c>
      <c r="X30" s="90"/>
      <c r="Y30" s="98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  <c r="AU30" s="143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3"/>
      <c r="BO30" s="135"/>
    </row>
    <row r="31" ht="15.0" customHeight="1">
      <c r="A31" s="104" t="s">
        <v>75</v>
      </c>
      <c r="B31" s="121">
        <f>3</f>
        <v>3</v>
      </c>
      <c r="C31" s="108">
        <f t="shared" ref="C31:E31" si="113">0</f>
        <v>0</v>
      </c>
      <c r="D31" s="108">
        <f t="shared" si="113"/>
        <v>0</v>
      </c>
      <c r="E31" s="108">
        <f t="shared" si="113"/>
        <v>0</v>
      </c>
      <c r="F31" s="121">
        <f>3</f>
        <v>3</v>
      </c>
      <c r="G31" s="121">
        <f>2</f>
        <v>2</v>
      </c>
      <c r="H31" s="108">
        <f t="shared" ref="H31:J31" si="114">0</f>
        <v>0</v>
      </c>
      <c r="I31" s="108">
        <f t="shared" si="114"/>
        <v>0</v>
      </c>
      <c r="J31" s="108">
        <f t="shared" si="114"/>
        <v>0</v>
      </c>
      <c r="K31" s="138">
        <f>2</f>
        <v>2</v>
      </c>
      <c r="L31" s="121">
        <f>3</f>
        <v>3</v>
      </c>
      <c r="M31" s="121">
        <f t="shared" si="115"/>
        <v>1</v>
      </c>
      <c r="N31" s="108">
        <f>0</f>
        <v>0</v>
      </c>
      <c r="O31" s="121">
        <f>1</f>
        <v>1</v>
      </c>
      <c r="P31" s="108">
        <f>0</f>
        <v>0</v>
      </c>
      <c r="Q31" s="121">
        <f>SUM(1)</f>
        <v>1</v>
      </c>
      <c r="R31" s="121">
        <f>1</f>
        <v>1</v>
      </c>
      <c r="S31" s="121">
        <f>2</f>
        <v>2</v>
      </c>
      <c r="T31" s="114">
        <f t="shared" si="98"/>
        <v>19</v>
      </c>
      <c r="X31" s="99"/>
      <c r="Y31" s="85" t="s">
        <v>1</v>
      </c>
      <c r="Z31" s="7"/>
      <c r="AA31" s="7"/>
      <c r="AB31" s="7"/>
      <c r="AC31" s="7"/>
      <c r="AD31" s="7"/>
      <c r="AE31" s="7"/>
      <c r="AF31" s="7"/>
      <c r="AG31" s="8"/>
      <c r="AH31" s="95"/>
      <c r="AI31" s="95"/>
      <c r="AJ31" s="86" t="s">
        <v>2</v>
      </c>
      <c r="AK31" s="7"/>
      <c r="AL31" s="7"/>
      <c r="AM31" s="7"/>
      <c r="AN31" s="7"/>
      <c r="AO31" s="7"/>
      <c r="AP31" s="7"/>
      <c r="AQ31" s="8"/>
      <c r="AU31" s="143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3"/>
      <c r="BO31" s="135"/>
    </row>
    <row r="32" ht="15.0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>
        <f>SUM(T27:T31)</f>
        <v>176</v>
      </c>
      <c r="X32" s="104" t="s">
        <v>51</v>
      </c>
      <c r="Y32" s="92">
        <v>28.0</v>
      </c>
      <c r="Z32" s="92">
        <v>30.0</v>
      </c>
      <c r="AA32" s="92">
        <v>32.0</v>
      </c>
      <c r="AB32" s="92">
        <v>34.0</v>
      </c>
      <c r="AC32" s="92">
        <v>36.0</v>
      </c>
      <c r="AD32" s="92">
        <v>38.0</v>
      </c>
      <c r="AE32" s="92">
        <v>40.0</v>
      </c>
      <c r="AF32" s="92"/>
      <c r="AG32" s="93"/>
      <c r="AH32" s="94">
        <v>28.0</v>
      </c>
      <c r="AI32" s="95">
        <v>30.0</v>
      </c>
      <c r="AJ32" s="95">
        <v>32.0</v>
      </c>
      <c r="AK32" s="95">
        <v>34.0</v>
      </c>
      <c r="AL32" s="95">
        <v>36.0</v>
      </c>
      <c r="AM32" s="95">
        <v>38.0</v>
      </c>
      <c r="AN32" s="95">
        <v>40.0</v>
      </c>
      <c r="AO32" s="95"/>
      <c r="AP32" s="95"/>
      <c r="AQ32" s="96" t="s">
        <v>76</v>
      </c>
      <c r="AU32" s="144" t="s">
        <v>77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8"/>
    </row>
    <row r="33" ht="15.0" customHeigh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X33" s="104"/>
      <c r="Y33" s="101" t="s">
        <v>4</v>
      </c>
      <c r="Z33" s="101" t="s">
        <v>53</v>
      </c>
      <c r="AA33" s="101" t="s">
        <v>54</v>
      </c>
      <c r="AB33" s="101" t="s">
        <v>55</v>
      </c>
      <c r="AC33" s="101" t="s">
        <v>56</v>
      </c>
      <c r="AD33" s="101" t="s">
        <v>9</v>
      </c>
      <c r="AE33" s="101" t="s">
        <v>10</v>
      </c>
      <c r="AF33" s="101" t="s">
        <v>11</v>
      </c>
      <c r="AG33" s="102" t="s">
        <v>12</v>
      </c>
      <c r="AH33" s="103" t="s">
        <v>4</v>
      </c>
      <c r="AI33" s="100" t="s">
        <v>53</v>
      </c>
      <c r="AJ33" s="100" t="s">
        <v>54</v>
      </c>
      <c r="AK33" s="100" t="s">
        <v>55</v>
      </c>
      <c r="AL33" s="100" t="s">
        <v>56</v>
      </c>
      <c r="AM33" s="100" t="s">
        <v>9</v>
      </c>
      <c r="AN33" s="100" t="s">
        <v>10</v>
      </c>
      <c r="AO33" s="100" t="s">
        <v>11</v>
      </c>
      <c r="AP33" s="100" t="s">
        <v>12</v>
      </c>
      <c r="AQ33" s="99"/>
      <c r="AU33" s="145"/>
      <c r="AV33" s="146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8"/>
    </row>
    <row r="34" ht="22.5" customHeight="1">
      <c r="A34" s="83" t="s">
        <v>78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X34" s="104" t="s">
        <v>67</v>
      </c>
      <c r="Y34" s="108">
        <f t="shared" ref="Y34:AA34" si="116">0+2</f>
        <v>2</v>
      </c>
      <c r="Z34" s="108">
        <f t="shared" si="116"/>
        <v>2</v>
      </c>
      <c r="AA34" s="108">
        <f t="shared" si="116"/>
        <v>2</v>
      </c>
      <c r="AB34" s="108">
        <f>0+1+1</f>
        <v>2</v>
      </c>
      <c r="AC34" s="108">
        <f t="shared" ref="AC34:AC35" si="121">0+2</f>
        <v>2</v>
      </c>
      <c r="AD34" s="108">
        <f>0+1+1</f>
        <v>2</v>
      </c>
      <c r="AE34" s="108">
        <f t="shared" ref="AE34:AH34" si="117">0+2</f>
        <v>2</v>
      </c>
      <c r="AF34" s="108">
        <f t="shared" si="117"/>
        <v>2</v>
      </c>
      <c r="AG34" s="108">
        <f t="shared" si="117"/>
        <v>2</v>
      </c>
      <c r="AH34" s="108">
        <f t="shared" si="117"/>
        <v>2</v>
      </c>
      <c r="AI34" s="108">
        <f t="shared" ref="AI34:AJ34" si="118">0+4</f>
        <v>4</v>
      </c>
      <c r="AJ34" s="108">
        <f t="shared" si="118"/>
        <v>4</v>
      </c>
      <c r="AK34" s="108">
        <f>0+2</f>
        <v>2</v>
      </c>
      <c r="AL34" s="108">
        <f>0+4</f>
        <v>4</v>
      </c>
      <c r="AM34" s="108">
        <f t="shared" ref="AM34:AP34" si="119">0+3</f>
        <v>3</v>
      </c>
      <c r="AN34" s="108">
        <f t="shared" si="119"/>
        <v>3</v>
      </c>
      <c r="AO34" s="108">
        <f t="shared" si="119"/>
        <v>3</v>
      </c>
      <c r="AP34" s="108">
        <f t="shared" si="119"/>
        <v>3</v>
      </c>
      <c r="AQ34" s="114">
        <f t="shared" ref="AQ34:AQ35" si="124">SUM(Y34:AP34)</f>
        <v>46</v>
      </c>
      <c r="AU34" s="99"/>
      <c r="AV34" s="147" t="s">
        <v>1</v>
      </c>
      <c r="AW34" s="7"/>
      <c r="AX34" s="7"/>
      <c r="AY34" s="7"/>
      <c r="AZ34" s="7"/>
      <c r="BA34" s="7"/>
      <c r="BB34" s="7"/>
      <c r="BC34" s="7"/>
      <c r="BD34" s="8"/>
      <c r="BE34" s="148"/>
      <c r="BF34" s="148"/>
      <c r="BG34" s="144" t="s">
        <v>2</v>
      </c>
      <c r="BH34" s="7"/>
      <c r="BI34" s="7"/>
      <c r="BJ34" s="7"/>
      <c r="BK34" s="7"/>
      <c r="BL34" s="7"/>
      <c r="BM34" s="7"/>
      <c r="BN34" s="7"/>
      <c r="BO34" s="8"/>
    </row>
    <row r="35" ht="15.0" customHeight="1">
      <c r="A35" s="84"/>
      <c r="B35" s="85" t="s">
        <v>1</v>
      </c>
      <c r="C35" s="7"/>
      <c r="D35" s="7"/>
      <c r="E35" s="7"/>
      <c r="F35" s="7"/>
      <c r="G35" s="7"/>
      <c r="H35" s="7"/>
      <c r="I35" s="7"/>
      <c r="J35" s="8"/>
      <c r="K35" s="86" t="s">
        <v>2</v>
      </c>
      <c r="L35" s="7"/>
      <c r="M35" s="7"/>
      <c r="N35" s="7"/>
      <c r="O35" s="7"/>
      <c r="P35" s="7"/>
      <c r="Q35" s="7"/>
      <c r="R35" s="7"/>
      <c r="S35" s="7"/>
      <c r="T35" s="8"/>
      <c r="X35" s="104" t="s">
        <v>58</v>
      </c>
      <c r="Y35" s="108">
        <f>0+3</f>
        <v>3</v>
      </c>
      <c r="Z35" s="108">
        <f t="shared" ref="Z35:AA35" si="120">0+2</f>
        <v>2</v>
      </c>
      <c r="AA35" s="108">
        <f t="shared" si="120"/>
        <v>2</v>
      </c>
      <c r="AB35" s="108">
        <f>0+1</f>
        <v>1</v>
      </c>
      <c r="AC35" s="108">
        <f t="shared" si="121"/>
        <v>2</v>
      </c>
      <c r="AD35" s="108">
        <f t="shared" ref="AD35:AE35" si="122">0+2</f>
        <v>2</v>
      </c>
      <c r="AE35" s="108">
        <f t="shared" si="122"/>
        <v>2</v>
      </c>
      <c r="AF35" s="108">
        <f>0+1</f>
        <v>1</v>
      </c>
      <c r="AG35" s="108">
        <f>0</f>
        <v>0</v>
      </c>
      <c r="AH35" s="108">
        <f>0+3</f>
        <v>3</v>
      </c>
      <c r="AI35" s="108">
        <f>0+4</f>
        <v>4</v>
      </c>
      <c r="AJ35" s="108">
        <f>5</f>
        <v>5</v>
      </c>
      <c r="AK35" s="108">
        <f t="shared" ref="AK35:AL35" si="123">0+4</f>
        <v>4</v>
      </c>
      <c r="AL35" s="108">
        <f t="shared" si="123"/>
        <v>4</v>
      </c>
      <c r="AM35" s="108">
        <f>0+2-1+1</f>
        <v>2</v>
      </c>
      <c r="AN35" s="108">
        <f>0+1</f>
        <v>1</v>
      </c>
      <c r="AO35" s="108">
        <f>0</f>
        <v>0</v>
      </c>
      <c r="AP35" s="108">
        <f>0+1</f>
        <v>1</v>
      </c>
      <c r="AQ35" s="114">
        <f t="shared" si="124"/>
        <v>39</v>
      </c>
      <c r="AU35" s="134" t="s">
        <v>51</v>
      </c>
      <c r="AV35" s="149">
        <v>28.0</v>
      </c>
      <c r="AW35" s="149">
        <v>30.0</v>
      </c>
      <c r="AX35" s="149">
        <v>32.0</v>
      </c>
      <c r="AY35" s="149">
        <v>34.0</v>
      </c>
      <c r="AZ35" s="149">
        <v>36.0</v>
      </c>
      <c r="BA35" s="149">
        <v>38.0</v>
      </c>
      <c r="BB35" s="149">
        <v>40.0</v>
      </c>
      <c r="BC35" s="149"/>
      <c r="BD35" s="150"/>
      <c r="BE35" s="151">
        <v>28.0</v>
      </c>
      <c r="BF35" s="152">
        <v>30.0</v>
      </c>
      <c r="BG35" s="152">
        <v>32.0</v>
      </c>
      <c r="BH35" s="152">
        <v>34.0</v>
      </c>
      <c r="BI35" s="152">
        <v>36.0</v>
      </c>
      <c r="BJ35" s="152">
        <v>38.0</v>
      </c>
      <c r="BK35" s="152">
        <v>40.0</v>
      </c>
      <c r="BL35" s="152"/>
      <c r="BM35" s="152"/>
      <c r="BN35" s="153" t="s">
        <v>52</v>
      </c>
      <c r="BO35" s="154"/>
    </row>
    <row r="36" ht="15.0" customHeight="1">
      <c r="A36" s="84" t="s">
        <v>51</v>
      </c>
      <c r="B36" s="92">
        <v>28.0</v>
      </c>
      <c r="C36" s="92">
        <v>30.0</v>
      </c>
      <c r="D36" s="92">
        <v>32.0</v>
      </c>
      <c r="E36" s="92">
        <v>34.0</v>
      </c>
      <c r="F36" s="92">
        <v>36.0</v>
      </c>
      <c r="G36" s="92">
        <v>38.0</v>
      </c>
      <c r="H36" s="92">
        <v>40.0</v>
      </c>
      <c r="I36" s="92"/>
      <c r="J36" s="93"/>
      <c r="K36" s="94">
        <v>28.0</v>
      </c>
      <c r="L36" s="95">
        <v>30.0</v>
      </c>
      <c r="M36" s="95">
        <v>32.0</v>
      </c>
      <c r="N36" s="95">
        <v>34.0</v>
      </c>
      <c r="O36" s="95">
        <v>36.0</v>
      </c>
      <c r="P36" s="95">
        <v>38.0</v>
      </c>
      <c r="Q36" s="95">
        <v>40.0</v>
      </c>
      <c r="R36" s="95"/>
      <c r="S36" s="95"/>
      <c r="T36" s="96" t="s">
        <v>52</v>
      </c>
      <c r="X36" s="119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2">
        <f>SUM(AQ34:AQ35)</f>
        <v>85</v>
      </c>
      <c r="AU36" s="134"/>
      <c r="AV36" s="155" t="s">
        <v>4</v>
      </c>
      <c r="AW36" s="155" t="s">
        <v>53</v>
      </c>
      <c r="AX36" s="155" t="s">
        <v>54</v>
      </c>
      <c r="AY36" s="155" t="s">
        <v>55</v>
      </c>
      <c r="AZ36" s="155" t="s">
        <v>56</v>
      </c>
      <c r="BA36" s="155" t="s">
        <v>9</v>
      </c>
      <c r="BB36" s="155" t="s">
        <v>10</v>
      </c>
      <c r="BC36" s="155" t="s">
        <v>11</v>
      </c>
      <c r="BD36" s="156" t="s">
        <v>12</v>
      </c>
      <c r="BE36" s="157" t="s">
        <v>4</v>
      </c>
      <c r="BF36" s="148" t="s">
        <v>53</v>
      </c>
      <c r="BG36" s="148" t="s">
        <v>54</v>
      </c>
      <c r="BH36" s="148" t="s">
        <v>55</v>
      </c>
      <c r="BI36" s="148" t="s">
        <v>56</v>
      </c>
      <c r="BJ36" s="148" t="s">
        <v>9</v>
      </c>
      <c r="BK36" s="148" t="s">
        <v>10</v>
      </c>
      <c r="BL36" s="148" t="s">
        <v>11</v>
      </c>
      <c r="BM36" s="148" t="s">
        <v>12</v>
      </c>
      <c r="BN36" s="99"/>
      <c r="BO36" s="154"/>
    </row>
    <row r="37" ht="15.0" customHeight="1">
      <c r="A37" s="84"/>
      <c r="B37" s="101" t="s">
        <v>4</v>
      </c>
      <c r="C37" s="101" t="s">
        <v>53</v>
      </c>
      <c r="D37" s="101" t="s">
        <v>54</v>
      </c>
      <c r="E37" s="101" t="s">
        <v>55</v>
      </c>
      <c r="F37" s="101" t="s">
        <v>56</v>
      </c>
      <c r="G37" s="101" t="s">
        <v>9</v>
      </c>
      <c r="H37" s="101" t="s">
        <v>10</v>
      </c>
      <c r="I37" s="101" t="s">
        <v>11</v>
      </c>
      <c r="J37" s="102" t="s">
        <v>12</v>
      </c>
      <c r="K37" s="103" t="s">
        <v>4</v>
      </c>
      <c r="L37" s="100" t="s">
        <v>53</v>
      </c>
      <c r="M37" s="100" t="s">
        <v>54</v>
      </c>
      <c r="N37" s="100" t="s">
        <v>55</v>
      </c>
      <c r="O37" s="100" t="s">
        <v>56</v>
      </c>
      <c r="P37" s="100" t="s">
        <v>9</v>
      </c>
      <c r="Q37" s="100" t="s">
        <v>10</v>
      </c>
      <c r="R37" s="100" t="s">
        <v>11</v>
      </c>
      <c r="S37" s="100" t="s">
        <v>12</v>
      </c>
      <c r="T37" s="99"/>
      <c r="X37" s="15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U37" s="134" t="s">
        <v>67</v>
      </c>
      <c r="AV37" s="108">
        <f>0+3</f>
        <v>3</v>
      </c>
      <c r="AW37" s="108">
        <f>0+2</f>
        <v>2</v>
      </c>
      <c r="AX37" s="108">
        <f>0</f>
        <v>0</v>
      </c>
      <c r="AY37" s="108">
        <f>0+4</f>
        <v>4</v>
      </c>
      <c r="AZ37" s="108">
        <f>0+6</f>
        <v>6</v>
      </c>
      <c r="BA37" s="108">
        <f>0+7</f>
        <v>7</v>
      </c>
      <c r="BB37" s="108">
        <f t="shared" ref="BB37:BE37" si="125">0+3</f>
        <v>3</v>
      </c>
      <c r="BC37" s="108">
        <f t="shared" si="125"/>
        <v>3</v>
      </c>
      <c r="BD37" s="108">
        <f t="shared" si="125"/>
        <v>3</v>
      </c>
      <c r="BE37" s="108">
        <f t="shared" si="125"/>
        <v>3</v>
      </c>
      <c r="BF37" s="108">
        <f>0+4</f>
        <v>4</v>
      </c>
      <c r="BG37" s="108">
        <f t="shared" ref="BG37:BH37" si="126">0+1</f>
        <v>1</v>
      </c>
      <c r="BH37" s="108">
        <f t="shared" si="126"/>
        <v>1</v>
      </c>
      <c r="BI37" s="108">
        <f>0+4</f>
        <v>4</v>
      </c>
      <c r="BJ37" s="108">
        <f>0+5</f>
        <v>5</v>
      </c>
      <c r="BK37" s="108">
        <f>0+3</f>
        <v>3</v>
      </c>
      <c r="BL37" s="108">
        <f t="shared" ref="BL37:BM37" si="127">0+2</f>
        <v>2</v>
      </c>
      <c r="BM37" s="108">
        <f t="shared" si="127"/>
        <v>2</v>
      </c>
      <c r="BN37" s="114">
        <f t="shared" ref="BN37:BN38" si="138">SUM(AV37:BM37)</f>
        <v>56</v>
      </c>
      <c r="BO37" s="135"/>
    </row>
    <row r="38" ht="15.0" customHeight="1">
      <c r="A38" s="84" t="s">
        <v>15</v>
      </c>
      <c r="B38" s="121">
        <f>0+1</f>
        <v>1</v>
      </c>
      <c r="C38" s="121">
        <f t="shared" ref="C38:D38" si="128">1+1</f>
        <v>2</v>
      </c>
      <c r="D38" s="121">
        <f t="shared" si="128"/>
        <v>2</v>
      </c>
      <c r="E38" s="108">
        <f>0+1</f>
        <v>1</v>
      </c>
      <c r="F38" s="121">
        <f>1+1</f>
        <v>2</v>
      </c>
      <c r="G38" s="108">
        <f t="shared" ref="G38:H38" si="129">0</f>
        <v>0</v>
      </c>
      <c r="H38" s="108">
        <f t="shared" si="129"/>
        <v>0</v>
      </c>
      <c r="I38" s="121">
        <f t="shared" ref="I38:J38" si="130">1</f>
        <v>1</v>
      </c>
      <c r="J38" s="137">
        <f t="shared" si="130"/>
        <v>1</v>
      </c>
      <c r="K38" s="108">
        <f>0+1</f>
        <v>1</v>
      </c>
      <c r="L38" s="108">
        <f>0+2-2</f>
        <v>0</v>
      </c>
      <c r="M38" s="121">
        <f>1+1+1</f>
        <v>3</v>
      </c>
      <c r="N38" s="121">
        <f t="shared" ref="N38:P38" si="131">0+1+1</f>
        <v>2</v>
      </c>
      <c r="O38" s="121">
        <f t="shared" si="131"/>
        <v>2</v>
      </c>
      <c r="P38" s="121">
        <f t="shared" si="131"/>
        <v>2</v>
      </c>
      <c r="Q38" s="121">
        <f t="shared" ref="Q38:S38" si="132">1</f>
        <v>1</v>
      </c>
      <c r="R38" s="121">
        <f t="shared" si="132"/>
        <v>1</v>
      </c>
      <c r="S38" s="121">
        <f t="shared" si="132"/>
        <v>1</v>
      </c>
      <c r="T38" s="114">
        <f t="shared" ref="T38:T41" si="142">SUM(B38:S38)</f>
        <v>23</v>
      </c>
      <c r="X38" s="161" t="s">
        <v>79</v>
      </c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62"/>
      <c r="AU38" s="134" t="s">
        <v>14</v>
      </c>
      <c r="AV38" s="108">
        <f t="shared" ref="AV38:AZ38" si="133">0+2</f>
        <v>2</v>
      </c>
      <c r="AW38" s="108">
        <f t="shared" si="133"/>
        <v>2</v>
      </c>
      <c r="AX38" s="108">
        <f t="shared" si="133"/>
        <v>2</v>
      </c>
      <c r="AY38" s="108">
        <f t="shared" si="133"/>
        <v>2</v>
      </c>
      <c r="AZ38" s="108">
        <f t="shared" si="133"/>
        <v>2</v>
      </c>
      <c r="BA38" s="108">
        <f>0+1</f>
        <v>1</v>
      </c>
      <c r="BB38" s="108">
        <f t="shared" ref="BB38:BD38" si="134">0+2</f>
        <v>2</v>
      </c>
      <c r="BC38" s="108">
        <f t="shared" si="134"/>
        <v>2</v>
      </c>
      <c r="BD38" s="108">
        <f t="shared" si="134"/>
        <v>2</v>
      </c>
      <c r="BE38" s="108">
        <f t="shared" ref="BE38:BF38" si="135">0+3</f>
        <v>3</v>
      </c>
      <c r="BF38" s="108">
        <f t="shared" si="135"/>
        <v>3</v>
      </c>
      <c r="BG38" s="108">
        <f>0</f>
        <v>0</v>
      </c>
      <c r="BH38" s="108">
        <f t="shared" ref="BH38:BI38" si="136">0+3</f>
        <v>3</v>
      </c>
      <c r="BI38" s="108">
        <f t="shared" si="136"/>
        <v>3</v>
      </c>
      <c r="BJ38" s="108">
        <f t="shared" ref="BJ38:BK38" si="137">0+2</f>
        <v>2</v>
      </c>
      <c r="BK38" s="108">
        <f t="shared" si="137"/>
        <v>2</v>
      </c>
      <c r="BL38" s="108">
        <f>0+3</f>
        <v>3</v>
      </c>
      <c r="BM38" s="108">
        <f>0+1</f>
        <v>1</v>
      </c>
      <c r="BN38" s="114">
        <f t="shared" si="138"/>
        <v>37</v>
      </c>
      <c r="BO38" s="135"/>
    </row>
    <row r="39" ht="15.0" customHeight="1">
      <c r="A39" s="84" t="s">
        <v>80</v>
      </c>
      <c r="B39" s="108">
        <f>0</f>
        <v>0</v>
      </c>
      <c r="C39" s="121">
        <f>3</f>
        <v>3</v>
      </c>
      <c r="D39" s="121">
        <f t="shared" ref="D39:F39" si="139">2</f>
        <v>2</v>
      </c>
      <c r="E39" s="121">
        <f t="shared" si="139"/>
        <v>2</v>
      </c>
      <c r="F39" s="121">
        <f t="shared" si="139"/>
        <v>2</v>
      </c>
      <c r="G39" s="121">
        <f>1+1</f>
        <v>2</v>
      </c>
      <c r="H39" s="121">
        <f>2+1</f>
        <v>3</v>
      </c>
      <c r="I39" s="121">
        <f t="shared" ref="I39:J39" si="140">1+1</f>
        <v>2</v>
      </c>
      <c r="J39" s="137">
        <f t="shared" si="140"/>
        <v>2</v>
      </c>
      <c r="K39" s="138">
        <f>1</f>
        <v>1</v>
      </c>
      <c r="L39" s="121">
        <f t="shared" ref="L39:L40" si="144">4</f>
        <v>4</v>
      </c>
      <c r="M39" s="121">
        <f>4+1</f>
        <v>5</v>
      </c>
      <c r="N39" s="121">
        <f>2</f>
        <v>2</v>
      </c>
      <c r="O39" s="121">
        <f>3</f>
        <v>3</v>
      </c>
      <c r="P39" s="121">
        <f t="shared" ref="P39:Q39" si="141">1+1</f>
        <v>2</v>
      </c>
      <c r="Q39" s="121">
        <f t="shared" si="141"/>
        <v>2</v>
      </c>
      <c r="R39" s="121">
        <f>2</f>
        <v>2</v>
      </c>
      <c r="S39" s="108">
        <f>0+1</f>
        <v>1</v>
      </c>
      <c r="T39" s="114">
        <f t="shared" si="142"/>
        <v>40</v>
      </c>
      <c r="X39" s="90"/>
      <c r="Y39" s="9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8"/>
      <c r="AU39" s="119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>
        <f>SUM(BN37:BN38)</f>
        <v>93</v>
      </c>
    </row>
    <row r="40" ht="15.0" customHeight="1">
      <c r="A40" s="84" t="s">
        <v>61</v>
      </c>
      <c r="B40" s="121">
        <f t="shared" ref="B40:C40" si="143">3</f>
        <v>3</v>
      </c>
      <c r="C40" s="121">
        <f t="shared" si="143"/>
        <v>3</v>
      </c>
      <c r="D40" s="121">
        <f>2</f>
        <v>2</v>
      </c>
      <c r="E40" s="121">
        <f>2+1</f>
        <v>3</v>
      </c>
      <c r="F40" s="121">
        <f>3</f>
        <v>3</v>
      </c>
      <c r="G40" s="108">
        <f>0</f>
        <v>0</v>
      </c>
      <c r="H40" s="121">
        <f>1+1</f>
        <v>2</v>
      </c>
      <c r="I40" s="108">
        <f t="shared" ref="I40:I41" si="147">0</f>
        <v>0</v>
      </c>
      <c r="J40" s="137">
        <f>1</f>
        <v>1</v>
      </c>
      <c r="K40" s="138">
        <f>2</f>
        <v>2</v>
      </c>
      <c r="L40" s="121">
        <f t="shared" si="144"/>
        <v>4</v>
      </c>
      <c r="M40" s="121">
        <f t="shared" ref="M40:N40" si="145">2</f>
        <v>2</v>
      </c>
      <c r="N40" s="121">
        <f t="shared" si="145"/>
        <v>2</v>
      </c>
      <c r="O40" s="121">
        <f>2+1</f>
        <v>3</v>
      </c>
      <c r="P40" s="121">
        <f>1</f>
        <v>1</v>
      </c>
      <c r="Q40" s="108">
        <f t="shared" ref="Q40:Q41" si="149">0</f>
        <v>0</v>
      </c>
      <c r="R40" s="121">
        <f>1+1</f>
        <v>2</v>
      </c>
      <c r="S40" s="108">
        <f>0</f>
        <v>0</v>
      </c>
      <c r="T40" s="114">
        <f t="shared" si="142"/>
        <v>33</v>
      </c>
      <c r="X40" s="99"/>
      <c r="Y40" s="85" t="s">
        <v>1</v>
      </c>
      <c r="Z40" s="7"/>
      <c r="AA40" s="7"/>
      <c r="AB40" s="7"/>
      <c r="AC40" s="7"/>
      <c r="AD40" s="7"/>
      <c r="AE40" s="7"/>
      <c r="AF40" s="7"/>
      <c r="AG40" s="8"/>
      <c r="AH40" s="95"/>
      <c r="AI40" s="95"/>
      <c r="AJ40" s="86" t="s">
        <v>2</v>
      </c>
      <c r="AK40" s="7"/>
      <c r="AL40" s="7"/>
      <c r="AM40" s="7"/>
      <c r="AN40" s="7"/>
      <c r="AO40" s="7"/>
      <c r="AP40" s="7"/>
      <c r="AQ40" s="8"/>
      <c r="AU40" s="119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</row>
    <row r="41" ht="15.0" customHeight="1">
      <c r="A41" s="84" t="s">
        <v>44</v>
      </c>
      <c r="B41" s="121">
        <f>4</f>
        <v>4</v>
      </c>
      <c r="C41" s="121">
        <f t="shared" ref="C41:D41" si="146">3</f>
        <v>3</v>
      </c>
      <c r="D41" s="121">
        <f t="shared" si="146"/>
        <v>3</v>
      </c>
      <c r="E41" s="121">
        <f>4+1</f>
        <v>5</v>
      </c>
      <c r="F41" s="121">
        <f>4</f>
        <v>4</v>
      </c>
      <c r="G41" s="121">
        <f>2</f>
        <v>2</v>
      </c>
      <c r="H41" s="121">
        <f>4</f>
        <v>4</v>
      </c>
      <c r="I41" s="108">
        <f t="shared" si="147"/>
        <v>0</v>
      </c>
      <c r="J41" s="108">
        <f>0</f>
        <v>0</v>
      </c>
      <c r="K41" s="138">
        <f>4</f>
        <v>4</v>
      </c>
      <c r="L41" s="121">
        <f t="shared" ref="L41:M41" si="148">3</f>
        <v>3</v>
      </c>
      <c r="M41" s="121">
        <f t="shared" si="148"/>
        <v>3</v>
      </c>
      <c r="N41" s="121">
        <f>3-1+1</f>
        <v>3</v>
      </c>
      <c r="O41" s="121">
        <f>4</f>
        <v>4</v>
      </c>
      <c r="P41" s="121">
        <f>2</f>
        <v>2</v>
      </c>
      <c r="Q41" s="108">
        <f t="shared" si="149"/>
        <v>0</v>
      </c>
      <c r="R41" s="121">
        <f t="shared" ref="R41:S41" si="150">2</f>
        <v>2</v>
      </c>
      <c r="S41" s="121">
        <f t="shared" si="150"/>
        <v>2</v>
      </c>
      <c r="T41" s="114">
        <f t="shared" si="142"/>
        <v>48</v>
      </c>
      <c r="X41" s="104" t="s">
        <v>51</v>
      </c>
      <c r="Y41" s="92">
        <v>28.0</v>
      </c>
      <c r="Z41" s="92">
        <v>30.0</v>
      </c>
      <c r="AA41" s="92">
        <v>32.0</v>
      </c>
      <c r="AB41" s="92">
        <v>34.0</v>
      </c>
      <c r="AC41" s="92">
        <v>36.0</v>
      </c>
      <c r="AD41" s="92">
        <v>38.0</v>
      </c>
      <c r="AE41" s="92">
        <v>40.0</v>
      </c>
      <c r="AF41" s="92"/>
      <c r="AG41" s="92"/>
      <c r="AH41" s="95">
        <v>28.0</v>
      </c>
      <c r="AI41" s="95">
        <v>30.0</v>
      </c>
      <c r="AJ41" s="95">
        <v>32.0</v>
      </c>
      <c r="AK41" s="95">
        <v>34.0</v>
      </c>
      <c r="AL41" s="95">
        <v>36.0</v>
      </c>
      <c r="AM41" s="95">
        <v>38.0</v>
      </c>
      <c r="AN41" s="95">
        <v>40.0</v>
      </c>
      <c r="AO41" s="95"/>
      <c r="AP41" s="95"/>
      <c r="AQ41" s="96" t="s">
        <v>76</v>
      </c>
      <c r="AU41" s="83" t="s">
        <v>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8"/>
    </row>
    <row r="42" ht="15.0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>
        <f>SUM(T38:T41)</f>
        <v>144</v>
      </c>
      <c r="X42" s="104"/>
      <c r="Y42" s="92" t="s">
        <v>4</v>
      </c>
      <c r="Z42" s="92" t="s">
        <v>53</v>
      </c>
      <c r="AA42" s="92" t="s">
        <v>54</v>
      </c>
      <c r="AB42" s="92" t="s">
        <v>55</v>
      </c>
      <c r="AC42" s="92" t="s">
        <v>56</v>
      </c>
      <c r="AD42" s="92" t="s">
        <v>9</v>
      </c>
      <c r="AE42" s="92" t="s">
        <v>10</v>
      </c>
      <c r="AF42" s="92" t="s">
        <v>11</v>
      </c>
      <c r="AG42" s="93" t="s">
        <v>12</v>
      </c>
      <c r="AH42" s="94" t="s">
        <v>4</v>
      </c>
      <c r="AI42" s="95" t="s">
        <v>53</v>
      </c>
      <c r="AJ42" s="95" t="s">
        <v>54</v>
      </c>
      <c r="AK42" s="95" t="s">
        <v>55</v>
      </c>
      <c r="AL42" s="95" t="s">
        <v>56</v>
      </c>
      <c r="AM42" s="95" t="s">
        <v>9</v>
      </c>
      <c r="AN42" s="95" t="s">
        <v>10</v>
      </c>
      <c r="AO42" s="95" t="s">
        <v>11</v>
      </c>
      <c r="AP42" s="95" t="s">
        <v>12</v>
      </c>
      <c r="AQ42" s="99"/>
      <c r="AU42" s="90"/>
      <c r="AV42" s="91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8"/>
    </row>
    <row r="43" ht="15.0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  <c r="X43" s="104" t="s">
        <v>67</v>
      </c>
      <c r="Y43" s="108">
        <f t="shared" ref="Y43:AB43" si="151">0+2-2</f>
        <v>0</v>
      </c>
      <c r="Z43" s="108">
        <f t="shared" si="151"/>
        <v>0</v>
      </c>
      <c r="AA43" s="108">
        <f t="shared" si="151"/>
        <v>0</v>
      </c>
      <c r="AB43" s="108">
        <f t="shared" si="151"/>
        <v>0</v>
      </c>
      <c r="AC43" s="108">
        <f>0+3-3+1</f>
        <v>1</v>
      </c>
      <c r="AD43" s="108">
        <f t="shared" ref="AD43:AD44" si="155">0+3-3</f>
        <v>0</v>
      </c>
      <c r="AE43" s="108">
        <f t="shared" ref="AE43:AF43" si="152">0+2-2</f>
        <v>0</v>
      </c>
      <c r="AF43" s="108">
        <f t="shared" si="152"/>
        <v>0</v>
      </c>
      <c r="AG43" s="108">
        <f>0+1+1-2</f>
        <v>0</v>
      </c>
      <c r="AH43" s="108">
        <f t="shared" ref="AH43:AH44" si="156">0+3-3</f>
        <v>0</v>
      </c>
      <c r="AI43" s="108">
        <f>0+3-3+1</f>
        <v>1</v>
      </c>
      <c r="AJ43" s="108">
        <f t="shared" ref="AJ43:AL43" si="153">0+3-3</f>
        <v>0</v>
      </c>
      <c r="AK43" s="108">
        <f t="shared" si="153"/>
        <v>0</v>
      </c>
      <c r="AL43" s="108">
        <f t="shared" si="153"/>
        <v>0</v>
      </c>
      <c r="AM43" s="108">
        <f>0+1-1</f>
        <v>0</v>
      </c>
      <c r="AN43" s="108">
        <f>0+3-3</f>
        <v>0</v>
      </c>
      <c r="AO43" s="108">
        <f t="shared" ref="AO43:AP43" si="154">0+2-2</f>
        <v>0</v>
      </c>
      <c r="AP43" s="108">
        <f t="shared" si="154"/>
        <v>0</v>
      </c>
      <c r="AQ43" s="114">
        <f t="shared" ref="AQ43:AQ44" si="159">SUM(Y43:AP43)</f>
        <v>2</v>
      </c>
      <c r="AU43" s="99"/>
      <c r="AV43" s="85" t="s">
        <v>1</v>
      </c>
      <c r="AW43" s="7"/>
      <c r="AX43" s="7"/>
      <c r="AY43" s="7"/>
      <c r="AZ43" s="7"/>
      <c r="BA43" s="7"/>
      <c r="BB43" s="7"/>
      <c r="BC43" s="7"/>
      <c r="BD43" s="8"/>
      <c r="BE43" s="100"/>
      <c r="BF43" s="100"/>
      <c r="BG43" s="86" t="s">
        <v>2</v>
      </c>
      <c r="BH43" s="7"/>
      <c r="BI43" s="7"/>
      <c r="BJ43" s="7"/>
      <c r="BK43" s="7"/>
      <c r="BL43" s="7"/>
      <c r="BM43" s="7"/>
      <c r="BN43" s="8"/>
    </row>
    <row r="44" ht="15.0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23"/>
      <c r="X44" s="104" t="s">
        <v>58</v>
      </c>
      <c r="Y44" s="108">
        <f>0+2-2</f>
        <v>0</v>
      </c>
      <c r="Z44" s="108">
        <f>0+3-3</f>
        <v>0</v>
      </c>
      <c r="AA44" s="108">
        <f>0</f>
        <v>0</v>
      </c>
      <c r="AB44" s="108">
        <f>0+2-2+1</f>
        <v>1</v>
      </c>
      <c r="AC44" s="108">
        <f>0</f>
        <v>0</v>
      </c>
      <c r="AD44" s="108">
        <f t="shared" si="155"/>
        <v>0</v>
      </c>
      <c r="AE44" s="108">
        <f>0+3-3</f>
        <v>0</v>
      </c>
      <c r="AF44" s="108">
        <f>0+2-2</f>
        <v>0</v>
      </c>
      <c r="AG44" s="108">
        <f>0+1-1</f>
        <v>0</v>
      </c>
      <c r="AH44" s="108">
        <f t="shared" si="156"/>
        <v>0</v>
      </c>
      <c r="AI44" s="108">
        <f>0+4-4</f>
        <v>0</v>
      </c>
      <c r="AJ44" s="108">
        <f>0+2-2+1</f>
        <v>1</v>
      </c>
      <c r="AK44" s="108">
        <f t="shared" ref="AK44:AL44" si="157">0+2-2</f>
        <v>0</v>
      </c>
      <c r="AL44" s="108">
        <f t="shared" si="157"/>
        <v>0</v>
      </c>
      <c r="AM44" s="108">
        <f>0+3-3</f>
        <v>0</v>
      </c>
      <c r="AN44" s="108">
        <f>0+2-2</f>
        <v>0</v>
      </c>
      <c r="AO44" s="108">
        <f t="shared" ref="AO44:AP44" si="158">0+1-1</f>
        <v>0</v>
      </c>
      <c r="AP44" s="108">
        <f t="shared" si="158"/>
        <v>0</v>
      </c>
      <c r="AQ44" s="114">
        <f t="shared" si="159"/>
        <v>2</v>
      </c>
      <c r="AU44" s="104" t="s">
        <v>51</v>
      </c>
      <c r="AV44" s="92">
        <v>28.0</v>
      </c>
      <c r="AW44" s="92">
        <v>30.0</v>
      </c>
      <c r="AX44" s="92">
        <v>32.0</v>
      </c>
      <c r="AY44" s="92">
        <v>34.0</v>
      </c>
      <c r="AZ44" s="92">
        <v>36.0</v>
      </c>
      <c r="BA44" s="92">
        <v>38.0</v>
      </c>
      <c r="BB44" s="92">
        <v>40.0</v>
      </c>
      <c r="BC44" s="92"/>
      <c r="BD44" s="93"/>
      <c r="BE44" s="94">
        <v>28.0</v>
      </c>
      <c r="BF44" s="95">
        <v>30.0</v>
      </c>
      <c r="BG44" s="95">
        <v>32.0</v>
      </c>
      <c r="BH44" s="95">
        <v>34.0</v>
      </c>
      <c r="BI44" s="95">
        <v>36.0</v>
      </c>
      <c r="BJ44" s="95">
        <v>38.0</v>
      </c>
      <c r="BK44" s="95">
        <v>40.0</v>
      </c>
      <c r="BL44" s="95"/>
      <c r="BM44" s="95"/>
      <c r="BN44" s="96" t="s">
        <v>52</v>
      </c>
    </row>
    <row r="45" ht="22.5" customHeight="1">
      <c r="A45" s="83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X45" s="164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2">
        <f>SUM(AQ43:AQ44)</f>
        <v>4</v>
      </c>
      <c r="AU45" s="104"/>
      <c r="AV45" s="101" t="s">
        <v>4</v>
      </c>
      <c r="AW45" s="101" t="s">
        <v>53</v>
      </c>
      <c r="AX45" s="101" t="s">
        <v>54</v>
      </c>
      <c r="AY45" s="101" t="s">
        <v>55</v>
      </c>
      <c r="AZ45" s="101" t="s">
        <v>56</v>
      </c>
      <c r="BA45" s="101" t="s">
        <v>9</v>
      </c>
      <c r="BB45" s="101" t="s">
        <v>10</v>
      </c>
      <c r="BC45" s="101" t="s">
        <v>11</v>
      </c>
      <c r="BD45" s="102" t="s">
        <v>12</v>
      </c>
      <c r="BE45" s="103" t="s">
        <v>4</v>
      </c>
      <c r="BF45" s="100" t="s">
        <v>53</v>
      </c>
      <c r="BG45" s="100" t="s">
        <v>54</v>
      </c>
      <c r="BH45" s="100" t="s">
        <v>55</v>
      </c>
      <c r="BI45" s="100" t="s">
        <v>56</v>
      </c>
      <c r="BJ45" s="100" t="s">
        <v>9</v>
      </c>
      <c r="BK45" s="100" t="s">
        <v>10</v>
      </c>
      <c r="BL45" s="100" t="s">
        <v>11</v>
      </c>
      <c r="BM45" s="100" t="s">
        <v>12</v>
      </c>
      <c r="BN45" s="99"/>
    </row>
    <row r="46" ht="15.0" customHeight="1">
      <c r="A46" s="84"/>
      <c r="B46" s="85" t="s">
        <v>1</v>
      </c>
      <c r="C46" s="7"/>
      <c r="D46" s="7"/>
      <c r="E46" s="7"/>
      <c r="F46" s="7"/>
      <c r="G46" s="7"/>
      <c r="H46" s="7"/>
      <c r="I46" s="7"/>
      <c r="J46" s="8"/>
      <c r="K46" s="86" t="s">
        <v>2</v>
      </c>
      <c r="L46" s="7"/>
      <c r="M46" s="7"/>
      <c r="N46" s="7"/>
      <c r="O46" s="7"/>
      <c r="P46" s="7"/>
      <c r="Q46" s="7"/>
      <c r="R46" s="7"/>
      <c r="S46" s="7"/>
      <c r="T46" s="8"/>
      <c r="X46" s="158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60"/>
      <c r="AU46" s="104" t="s">
        <v>67</v>
      </c>
      <c r="AV46" s="108">
        <f t="shared" ref="AV46:AV49" si="164">0+2</f>
        <v>2</v>
      </c>
      <c r="AW46" s="108">
        <f t="shared" ref="AW46:AX46" si="160">0+1+1</f>
        <v>2</v>
      </c>
      <c r="AX46" s="108">
        <f t="shared" si="160"/>
        <v>2</v>
      </c>
      <c r="AY46" s="108">
        <f>0+3</f>
        <v>3</v>
      </c>
      <c r="AZ46" s="108">
        <f t="shared" ref="AZ46:AZ47" si="166">0+2</f>
        <v>2</v>
      </c>
      <c r="BA46" s="108">
        <f t="shared" ref="BA46:BD46" si="161">0+1</f>
        <v>1</v>
      </c>
      <c r="BB46" s="108">
        <f t="shared" si="161"/>
        <v>1</v>
      </c>
      <c r="BC46" s="108">
        <f t="shared" si="161"/>
        <v>1</v>
      </c>
      <c r="BD46" s="108">
        <f t="shared" si="161"/>
        <v>1</v>
      </c>
      <c r="BE46" s="108">
        <f t="shared" ref="BE46:BE47" si="167">0+4</f>
        <v>4</v>
      </c>
      <c r="BF46" s="108">
        <f>0+3</f>
        <v>3</v>
      </c>
      <c r="BG46" s="108">
        <f t="shared" ref="BG46:BH46" si="162">0+2+1</f>
        <v>3</v>
      </c>
      <c r="BH46" s="108">
        <f t="shared" si="162"/>
        <v>3</v>
      </c>
      <c r="BI46" s="108">
        <f t="shared" ref="BI46:BK46" si="163">0+2</f>
        <v>2</v>
      </c>
      <c r="BJ46" s="108">
        <f t="shared" si="163"/>
        <v>2</v>
      </c>
      <c r="BK46" s="108">
        <f t="shared" si="163"/>
        <v>2</v>
      </c>
      <c r="BL46" s="108">
        <f>0+1</f>
        <v>1</v>
      </c>
      <c r="BM46" s="108">
        <f>0+1+1</f>
        <v>2</v>
      </c>
      <c r="BN46" s="114">
        <f t="shared" ref="BN46:BN49" si="171">SUM(AV46:BM46)</f>
        <v>37</v>
      </c>
      <c r="BO46" s="130"/>
    </row>
    <row r="47" ht="15.0" customHeight="1">
      <c r="A47" s="84" t="s">
        <v>51</v>
      </c>
      <c r="B47" s="92">
        <v>28.0</v>
      </c>
      <c r="C47" s="92">
        <v>30.0</v>
      </c>
      <c r="D47" s="92">
        <v>32.0</v>
      </c>
      <c r="E47" s="92">
        <v>34.0</v>
      </c>
      <c r="F47" s="92">
        <v>36.0</v>
      </c>
      <c r="G47" s="92">
        <v>38.0</v>
      </c>
      <c r="H47" s="92">
        <v>40.0</v>
      </c>
      <c r="I47" s="92"/>
      <c r="J47" s="92"/>
      <c r="K47" s="95">
        <v>28.0</v>
      </c>
      <c r="L47" s="95">
        <v>30.0</v>
      </c>
      <c r="M47" s="95">
        <v>32.0</v>
      </c>
      <c r="N47" s="95">
        <v>34.0</v>
      </c>
      <c r="O47" s="95">
        <v>36.0</v>
      </c>
      <c r="P47" s="95">
        <v>38.0</v>
      </c>
      <c r="Q47" s="95">
        <v>40.0</v>
      </c>
      <c r="R47" s="95"/>
      <c r="S47" s="95"/>
      <c r="T47" s="96" t="s">
        <v>52</v>
      </c>
      <c r="X47" s="13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20"/>
      <c r="AQ47" s="120"/>
      <c r="AU47" s="104" t="s">
        <v>14</v>
      </c>
      <c r="AV47" s="108">
        <f t="shared" si="164"/>
        <v>2</v>
      </c>
      <c r="AW47" s="108">
        <f>0+2+1</f>
        <v>3</v>
      </c>
      <c r="AX47" s="108">
        <f t="shared" ref="AX47:AY47" si="165">0+3</f>
        <v>3</v>
      </c>
      <c r="AY47" s="108">
        <f t="shared" si="165"/>
        <v>3</v>
      </c>
      <c r="AZ47" s="108">
        <f t="shared" si="166"/>
        <v>2</v>
      </c>
      <c r="BA47" s="108">
        <f>0+2</f>
        <v>2</v>
      </c>
      <c r="BB47" s="108">
        <f>0+1</f>
        <v>1</v>
      </c>
      <c r="BC47" s="108">
        <f>0+2</f>
        <v>2</v>
      </c>
      <c r="BD47" s="108">
        <f>0+1</f>
        <v>1</v>
      </c>
      <c r="BE47" s="108">
        <f t="shared" si="167"/>
        <v>4</v>
      </c>
      <c r="BF47" s="108">
        <f t="shared" ref="BF47:BG47" si="168">0+4</f>
        <v>4</v>
      </c>
      <c r="BG47" s="108">
        <f t="shared" si="168"/>
        <v>4</v>
      </c>
      <c r="BH47" s="108">
        <f>0+5</f>
        <v>5</v>
      </c>
      <c r="BI47" s="108">
        <f t="shared" ref="BI47:BJ47" si="169">0+2</f>
        <v>2</v>
      </c>
      <c r="BJ47" s="108">
        <f t="shared" si="169"/>
        <v>2</v>
      </c>
      <c r="BK47" s="108">
        <f>0+1</f>
        <v>1</v>
      </c>
      <c r="BL47" s="108">
        <f t="shared" ref="BL47:BM47" si="170">0+2</f>
        <v>2</v>
      </c>
      <c r="BM47" s="108">
        <f t="shared" si="170"/>
        <v>2</v>
      </c>
      <c r="BN47" s="114">
        <f t="shared" si="171"/>
        <v>45</v>
      </c>
    </row>
    <row r="48" ht="15.0" customHeight="1">
      <c r="A48" s="84"/>
      <c r="B48" s="101" t="s">
        <v>4</v>
      </c>
      <c r="C48" s="101" t="s">
        <v>53</v>
      </c>
      <c r="D48" s="101" t="s">
        <v>54</v>
      </c>
      <c r="E48" s="101" t="s">
        <v>55</v>
      </c>
      <c r="F48" s="101" t="s">
        <v>56</v>
      </c>
      <c r="G48" s="101" t="s">
        <v>9</v>
      </c>
      <c r="H48" s="101" t="s">
        <v>10</v>
      </c>
      <c r="I48" s="101" t="s">
        <v>11</v>
      </c>
      <c r="J48" s="102" t="s">
        <v>12</v>
      </c>
      <c r="K48" s="103" t="s">
        <v>4</v>
      </c>
      <c r="L48" s="100" t="s">
        <v>53</v>
      </c>
      <c r="M48" s="100" t="s">
        <v>54</v>
      </c>
      <c r="N48" s="100" t="s">
        <v>55</v>
      </c>
      <c r="O48" s="100" t="s">
        <v>56</v>
      </c>
      <c r="P48" s="100" t="s">
        <v>9</v>
      </c>
      <c r="Q48" s="100" t="s">
        <v>10</v>
      </c>
      <c r="R48" s="100" t="s">
        <v>11</v>
      </c>
      <c r="S48" s="100" t="s">
        <v>12</v>
      </c>
      <c r="T48" s="99"/>
      <c r="X48" s="165" t="s">
        <v>83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  <c r="AP48" s="166"/>
      <c r="AQ48" s="120"/>
      <c r="AU48" s="104" t="s">
        <v>68</v>
      </c>
      <c r="AV48" s="108">
        <f t="shared" si="164"/>
        <v>2</v>
      </c>
      <c r="AW48" s="108">
        <f t="shared" ref="AW48:BB48" si="172">0+1</f>
        <v>1</v>
      </c>
      <c r="AX48" s="108">
        <f t="shared" si="172"/>
        <v>1</v>
      </c>
      <c r="AY48" s="108">
        <f t="shared" si="172"/>
        <v>1</v>
      </c>
      <c r="AZ48" s="108">
        <f t="shared" si="172"/>
        <v>1</v>
      </c>
      <c r="BA48" s="108">
        <f t="shared" si="172"/>
        <v>1</v>
      </c>
      <c r="BB48" s="108">
        <f t="shared" si="172"/>
        <v>1</v>
      </c>
      <c r="BC48" s="108">
        <f t="shared" ref="BC48:BE48" si="173">0</f>
        <v>0</v>
      </c>
      <c r="BD48" s="108">
        <f t="shared" si="173"/>
        <v>0</v>
      </c>
      <c r="BE48" s="108">
        <f t="shared" si="173"/>
        <v>0</v>
      </c>
      <c r="BF48" s="108">
        <f>0+2</f>
        <v>2</v>
      </c>
      <c r="BG48" s="108">
        <f>0+1</f>
        <v>1</v>
      </c>
      <c r="BH48" s="108">
        <f t="shared" ref="BH48:BM48" si="174">0</f>
        <v>0</v>
      </c>
      <c r="BI48" s="108">
        <f t="shared" si="174"/>
        <v>0</v>
      </c>
      <c r="BJ48" s="108">
        <f t="shared" si="174"/>
        <v>0</v>
      </c>
      <c r="BK48" s="108">
        <f t="shared" si="174"/>
        <v>0</v>
      </c>
      <c r="BL48" s="108">
        <f t="shared" si="174"/>
        <v>0</v>
      </c>
      <c r="BM48" s="108">
        <f t="shared" si="174"/>
        <v>0</v>
      </c>
      <c r="BN48" s="114">
        <f t="shared" si="171"/>
        <v>11</v>
      </c>
    </row>
    <row r="49" ht="15.0" customHeight="1">
      <c r="A49" s="104" t="s">
        <v>15</v>
      </c>
      <c r="B49" s="121">
        <f t="shared" ref="B49:C49" si="175">1+2</f>
        <v>3</v>
      </c>
      <c r="C49" s="121">
        <f t="shared" si="175"/>
        <v>3</v>
      </c>
      <c r="D49" s="108">
        <f t="shared" ref="D49:H49" si="176">0+2</f>
        <v>2</v>
      </c>
      <c r="E49" s="108">
        <f t="shared" si="176"/>
        <v>2</v>
      </c>
      <c r="F49" s="108">
        <f t="shared" si="176"/>
        <v>2</v>
      </c>
      <c r="G49" s="108">
        <f t="shared" si="176"/>
        <v>2</v>
      </c>
      <c r="H49" s="108">
        <f t="shared" si="176"/>
        <v>2</v>
      </c>
      <c r="I49" s="108">
        <f t="shared" ref="I49:J49" si="177">0+1</f>
        <v>1</v>
      </c>
      <c r="J49" s="108">
        <f t="shared" si="177"/>
        <v>1</v>
      </c>
      <c r="K49" s="108">
        <f>0+2</f>
        <v>2</v>
      </c>
      <c r="L49" s="121">
        <f>1-1</f>
        <v>0</v>
      </c>
      <c r="M49" s="108">
        <f t="shared" ref="M49:N49" si="178">0+2</f>
        <v>2</v>
      </c>
      <c r="N49" s="108">
        <f t="shared" si="178"/>
        <v>2</v>
      </c>
      <c r="O49" s="121">
        <f>2+2</f>
        <v>4</v>
      </c>
      <c r="P49" s="121">
        <f>1+2</f>
        <v>3</v>
      </c>
      <c r="Q49" s="108">
        <f>0+2</f>
        <v>2</v>
      </c>
      <c r="R49" s="108">
        <f t="shared" ref="R49:S49" si="179">0+1</f>
        <v>1</v>
      </c>
      <c r="S49" s="108">
        <f t="shared" si="179"/>
        <v>1</v>
      </c>
      <c r="T49" s="121">
        <f t="shared" ref="T49:T53" si="187">SUM(B49:S49)</f>
        <v>35</v>
      </c>
      <c r="X49" s="167" t="s">
        <v>84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  <c r="AP49" s="166"/>
      <c r="AQ49" s="120"/>
      <c r="AU49" s="104" t="s">
        <v>57</v>
      </c>
      <c r="AV49" s="108">
        <f t="shared" si="164"/>
        <v>2</v>
      </c>
      <c r="AW49" s="108">
        <f t="shared" ref="AW49:AZ49" si="180">0</f>
        <v>0</v>
      </c>
      <c r="AX49" s="108">
        <f t="shared" si="180"/>
        <v>0</v>
      </c>
      <c r="AY49" s="108">
        <f t="shared" si="180"/>
        <v>0</v>
      </c>
      <c r="AZ49" s="108">
        <f t="shared" si="180"/>
        <v>0</v>
      </c>
      <c r="BA49" s="108">
        <f>0+1</f>
        <v>1</v>
      </c>
      <c r="BB49" s="108">
        <f t="shared" ref="BB49:BD49" si="181">0</f>
        <v>0</v>
      </c>
      <c r="BC49" s="108">
        <f t="shared" si="181"/>
        <v>0</v>
      </c>
      <c r="BD49" s="108">
        <f t="shared" si="181"/>
        <v>0</v>
      </c>
      <c r="BE49" s="108">
        <f>0+3</f>
        <v>3</v>
      </c>
      <c r="BF49" s="108">
        <f t="shared" ref="BF49:BG49" si="182">0</f>
        <v>0</v>
      </c>
      <c r="BG49" s="108">
        <f t="shared" si="182"/>
        <v>0</v>
      </c>
      <c r="BH49" s="108">
        <f>0+1</f>
        <v>1</v>
      </c>
      <c r="BI49" s="108">
        <f t="shared" ref="BI49:BK49" si="183">0</f>
        <v>0</v>
      </c>
      <c r="BJ49" s="108">
        <f t="shared" si="183"/>
        <v>0</v>
      </c>
      <c r="BK49" s="108">
        <f t="shared" si="183"/>
        <v>0</v>
      </c>
      <c r="BL49" s="108">
        <f>0+1</f>
        <v>1</v>
      </c>
      <c r="BM49" s="108">
        <f>0</f>
        <v>0</v>
      </c>
      <c r="BN49" s="114">
        <f t="shared" si="171"/>
        <v>8</v>
      </c>
    </row>
    <row r="50" ht="15.0" customHeight="1">
      <c r="A50" s="115" t="s">
        <v>13</v>
      </c>
      <c r="B50" s="121">
        <f>4</f>
        <v>4</v>
      </c>
      <c r="C50" s="121">
        <f>1</f>
        <v>1</v>
      </c>
      <c r="D50" s="108">
        <f t="shared" ref="D50:E50" si="184">0</f>
        <v>0</v>
      </c>
      <c r="E50" s="108">
        <f t="shared" si="184"/>
        <v>0</v>
      </c>
      <c r="F50" s="121">
        <f>1</f>
        <v>1</v>
      </c>
      <c r="G50" s="121">
        <f t="shared" ref="G50:G51" si="189">2</f>
        <v>2</v>
      </c>
      <c r="H50" s="108">
        <f>0</f>
        <v>0</v>
      </c>
      <c r="I50" s="121">
        <f>1</f>
        <v>1</v>
      </c>
      <c r="J50" s="108">
        <f>0</f>
        <v>0</v>
      </c>
      <c r="K50" s="138">
        <f>2</f>
        <v>2</v>
      </c>
      <c r="L50" s="121">
        <f t="shared" ref="L50:M50" si="185">3</f>
        <v>3</v>
      </c>
      <c r="M50" s="121">
        <f t="shared" si="185"/>
        <v>3</v>
      </c>
      <c r="N50" s="108">
        <f>0</f>
        <v>0</v>
      </c>
      <c r="O50" s="121">
        <f>4</f>
        <v>4</v>
      </c>
      <c r="P50" s="121">
        <f>1</f>
        <v>1</v>
      </c>
      <c r="Q50" s="108">
        <f t="shared" ref="Q50:S50" si="186">0</f>
        <v>0</v>
      </c>
      <c r="R50" s="108">
        <f t="shared" si="186"/>
        <v>0</v>
      </c>
      <c r="S50" s="108">
        <f t="shared" si="186"/>
        <v>0</v>
      </c>
      <c r="T50" s="121">
        <f t="shared" si="187"/>
        <v>22</v>
      </c>
      <c r="X50" s="83" t="s">
        <v>43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8"/>
      <c r="AO50" s="96" t="s">
        <v>85</v>
      </c>
      <c r="AP50" s="166"/>
      <c r="AQ50" s="120"/>
      <c r="AU50" s="168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21">
        <f>SUM(BN46:BN49)</f>
        <v>101</v>
      </c>
    </row>
    <row r="51" ht="15.0" customHeight="1">
      <c r="A51" s="104" t="s">
        <v>86</v>
      </c>
      <c r="B51" s="121">
        <f>3-2+2</f>
        <v>3</v>
      </c>
      <c r="C51" s="121">
        <f>2</f>
        <v>2</v>
      </c>
      <c r="D51" s="121">
        <f>2-1+1</f>
        <v>2</v>
      </c>
      <c r="E51" s="121">
        <f t="shared" ref="E51:F51" si="188">4</f>
        <v>4</v>
      </c>
      <c r="F51" s="121">
        <f t="shared" si="188"/>
        <v>4</v>
      </c>
      <c r="G51" s="121">
        <f t="shared" si="189"/>
        <v>2</v>
      </c>
      <c r="H51" s="121">
        <f>2</f>
        <v>2</v>
      </c>
      <c r="I51" s="121">
        <f>3</f>
        <v>3</v>
      </c>
      <c r="J51" s="137">
        <f>2</f>
        <v>2</v>
      </c>
      <c r="K51" s="138">
        <f t="shared" ref="K51:L51" si="190">3</f>
        <v>3</v>
      </c>
      <c r="L51" s="121">
        <f t="shared" si="190"/>
        <v>3</v>
      </c>
      <c r="M51" s="121">
        <f>3+1</f>
        <v>4</v>
      </c>
      <c r="N51" s="121">
        <f>1+1</f>
        <v>2</v>
      </c>
      <c r="O51" s="121">
        <f t="shared" ref="O51:P51" si="191">3</f>
        <v>3</v>
      </c>
      <c r="P51" s="121">
        <f t="shared" si="191"/>
        <v>3</v>
      </c>
      <c r="Q51" s="121">
        <f t="shared" ref="Q51:S51" si="192">2</f>
        <v>2</v>
      </c>
      <c r="R51" s="121">
        <f t="shared" si="192"/>
        <v>2</v>
      </c>
      <c r="S51" s="121">
        <f t="shared" si="192"/>
        <v>2</v>
      </c>
      <c r="T51" s="121">
        <f t="shared" si="187"/>
        <v>48</v>
      </c>
      <c r="X51" s="169" t="s">
        <v>87</v>
      </c>
      <c r="Y51" s="3"/>
      <c r="Z51" s="3"/>
      <c r="AA51" s="3"/>
      <c r="AB51" s="3"/>
      <c r="AC51" s="3"/>
      <c r="AD51" s="3"/>
      <c r="AE51" s="4"/>
      <c r="AF51" s="95">
        <v>28.0</v>
      </c>
      <c r="AG51" s="95">
        <v>30.0</v>
      </c>
      <c r="AH51" s="95">
        <v>32.0</v>
      </c>
      <c r="AI51" s="95">
        <v>34.0</v>
      </c>
      <c r="AJ51" s="95">
        <v>36.0</v>
      </c>
      <c r="AK51" s="95">
        <v>38.0</v>
      </c>
      <c r="AL51" s="95">
        <v>40.0</v>
      </c>
      <c r="AM51" s="95">
        <v>42.0</v>
      </c>
      <c r="AN51" s="95">
        <v>44.0</v>
      </c>
      <c r="AO51" s="170"/>
      <c r="AP51" s="166"/>
      <c r="AQ51" s="120"/>
      <c r="AU51" s="168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ht="15.0" customHeight="1">
      <c r="A52" s="115" t="s">
        <v>25</v>
      </c>
      <c r="B52" s="108">
        <f>0</f>
        <v>0</v>
      </c>
      <c r="C52" s="121">
        <f>1</f>
        <v>1</v>
      </c>
      <c r="D52" s="108">
        <f t="shared" ref="D52:E52" si="193">0</f>
        <v>0</v>
      </c>
      <c r="E52" s="108">
        <f t="shared" si="193"/>
        <v>0</v>
      </c>
      <c r="F52" s="121">
        <f t="shared" ref="F52:G52" si="194">1</f>
        <v>1</v>
      </c>
      <c r="G52" s="121">
        <f t="shared" si="194"/>
        <v>1</v>
      </c>
      <c r="H52" s="108">
        <f t="shared" ref="H52:I52" si="195">0</f>
        <v>0</v>
      </c>
      <c r="I52" s="108">
        <f t="shared" si="195"/>
        <v>0</v>
      </c>
      <c r="J52" s="137">
        <f t="shared" ref="J52:J53" si="199">1</f>
        <v>1</v>
      </c>
      <c r="K52" s="138">
        <f t="shared" ref="K52:M52" si="196">3</f>
        <v>3</v>
      </c>
      <c r="L52" s="121">
        <f t="shared" si="196"/>
        <v>3</v>
      </c>
      <c r="M52" s="121">
        <f t="shared" si="196"/>
        <v>3</v>
      </c>
      <c r="N52" s="121">
        <f>2</f>
        <v>2</v>
      </c>
      <c r="O52" s="121">
        <f>3</f>
        <v>3</v>
      </c>
      <c r="P52" s="121">
        <f>2</f>
        <v>2</v>
      </c>
      <c r="Q52" s="121">
        <f>3</f>
        <v>3</v>
      </c>
      <c r="R52" s="108">
        <f t="shared" ref="R52:S52" si="197">0</f>
        <v>0</v>
      </c>
      <c r="S52" s="108">
        <f t="shared" si="197"/>
        <v>0</v>
      </c>
      <c r="T52" s="121">
        <f t="shared" si="187"/>
        <v>23</v>
      </c>
      <c r="X52" s="171"/>
      <c r="Y52" s="128"/>
      <c r="Z52" s="128"/>
      <c r="AA52" s="128"/>
      <c r="AB52" s="128"/>
      <c r="AC52" s="128"/>
      <c r="AD52" s="128"/>
      <c r="AE52" s="162"/>
      <c r="AF52" s="95" t="s">
        <v>4</v>
      </c>
      <c r="AG52" s="95" t="s">
        <v>53</v>
      </c>
      <c r="AH52" s="95" t="s">
        <v>54</v>
      </c>
      <c r="AI52" s="95" t="s">
        <v>55</v>
      </c>
      <c r="AJ52" s="95" t="s">
        <v>56</v>
      </c>
      <c r="AK52" s="95" t="s">
        <v>88</v>
      </c>
      <c r="AL52" s="95" t="s">
        <v>89</v>
      </c>
      <c r="AM52" s="95" t="s">
        <v>90</v>
      </c>
      <c r="AN52" s="95" t="s">
        <v>91</v>
      </c>
      <c r="AO52" s="172"/>
      <c r="AP52" s="173"/>
      <c r="AQ52" s="120"/>
      <c r="AU52" s="83" t="s">
        <v>92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8"/>
      <c r="BN52" s="120"/>
    </row>
    <row r="53" ht="15.0" customHeight="1">
      <c r="A53" s="115" t="s">
        <v>22</v>
      </c>
      <c r="B53" s="121">
        <f>1-1</f>
        <v>0</v>
      </c>
      <c r="C53" s="121">
        <f>2</f>
        <v>2</v>
      </c>
      <c r="D53" s="121">
        <f>1</f>
        <v>1</v>
      </c>
      <c r="E53" s="121">
        <f>1-1</f>
        <v>0</v>
      </c>
      <c r="F53" s="121">
        <f>2</f>
        <v>2</v>
      </c>
      <c r="G53" s="121">
        <f>1</f>
        <v>1</v>
      </c>
      <c r="H53" s="108">
        <f t="shared" ref="H53:I53" si="198">0</f>
        <v>0</v>
      </c>
      <c r="I53" s="108">
        <f t="shared" si="198"/>
        <v>0</v>
      </c>
      <c r="J53" s="137">
        <f t="shared" si="199"/>
        <v>1</v>
      </c>
      <c r="K53" s="138">
        <f t="shared" ref="K53:O53" si="200">2</f>
        <v>2</v>
      </c>
      <c r="L53" s="121">
        <f t="shared" si="200"/>
        <v>2</v>
      </c>
      <c r="M53" s="121">
        <f t="shared" si="200"/>
        <v>2</v>
      </c>
      <c r="N53" s="121">
        <f t="shared" si="200"/>
        <v>2</v>
      </c>
      <c r="O53" s="121">
        <f t="shared" si="200"/>
        <v>2</v>
      </c>
      <c r="P53" s="121">
        <f>1</f>
        <v>1</v>
      </c>
      <c r="Q53" s="108">
        <f t="shared" ref="Q53:S53" si="201">0</f>
        <v>0</v>
      </c>
      <c r="R53" s="108">
        <f t="shared" si="201"/>
        <v>0</v>
      </c>
      <c r="S53" s="108">
        <f t="shared" si="201"/>
        <v>0</v>
      </c>
      <c r="T53" s="121">
        <f t="shared" si="187"/>
        <v>18</v>
      </c>
      <c r="X53" s="174" t="s">
        <v>67</v>
      </c>
      <c r="Y53" s="7"/>
      <c r="Z53" s="7"/>
      <c r="AA53" s="7"/>
      <c r="AB53" s="7"/>
      <c r="AC53" s="7"/>
      <c r="AD53" s="7"/>
      <c r="AE53" s="8"/>
      <c r="AF53" s="108">
        <f>0+2</f>
        <v>2</v>
      </c>
      <c r="AG53" s="108">
        <f t="shared" ref="AG53:AG54" si="203">0+3</f>
        <v>3</v>
      </c>
      <c r="AH53" s="108">
        <f>0+5-1+1</f>
        <v>5</v>
      </c>
      <c r="AI53" s="108">
        <f>0+5</f>
        <v>5</v>
      </c>
      <c r="AJ53" s="108">
        <f t="shared" ref="AJ53:AJ54" si="204">0+3</f>
        <v>3</v>
      </c>
      <c r="AK53" s="108">
        <f>0+2+1</f>
        <v>3</v>
      </c>
      <c r="AL53" s="108">
        <f>0+2</f>
        <v>2</v>
      </c>
      <c r="AM53" s="108">
        <f t="shared" ref="AM53:AN53" si="202">0+1</f>
        <v>1</v>
      </c>
      <c r="AN53" s="108">
        <f t="shared" si="202"/>
        <v>1</v>
      </c>
      <c r="AO53" s="175">
        <f t="shared" ref="AO53:AO54" si="206">SUM(AF53:AN53)</f>
        <v>25</v>
      </c>
      <c r="AP53" s="162"/>
      <c r="AQ53" s="166"/>
      <c r="AU53" s="176" t="s">
        <v>84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60"/>
      <c r="BN53" s="120"/>
    </row>
    <row r="54" ht="15.0" customHeight="1">
      <c r="A54" s="119"/>
      <c r="B54" s="120"/>
      <c r="C54" s="120" t="s">
        <v>60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>
        <f>SUM(T49:T53)</f>
        <v>146</v>
      </c>
      <c r="X54" s="174" t="s">
        <v>14</v>
      </c>
      <c r="Y54" s="7"/>
      <c r="Z54" s="7"/>
      <c r="AA54" s="7"/>
      <c r="AB54" s="7"/>
      <c r="AC54" s="7"/>
      <c r="AD54" s="7"/>
      <c r="AE54" s="8"/>
      <c r="AF54" s="108">
        <f>0</f>
        <v>0</v>
      </c>
      <c r="AG54" s="108">
        <f t="shared" si="203"/>
        <v>3</v>
      </c>
      <c r="AH54" s="108">
        <f>0+4</f>
        <v>4</v>
      </c>
      <c r="AI54" s="108">
        <f>0+6</f>
        <v>6</v>
      </c>
      <c r="AJ54" s="108">
        <f t="shared" si="204"/>
        <v>3</v>
      </c>
      <c r="AK54" s="108">
        <f t="shared" ref="AK54:AL54" si="205">0+2</f>
        <v>2</v>
      </c>
      <c r="AL54" s="108">
        <f t="shared" si="205"/>
        <v>2</v>
      </c>
      <c r="AM54" s="108">
        <f>0</f>
        <v>0</v>
      </c>
      <c r="AN54" s="108">
        <f>0+1</f>
        <v>1</v>
      </c>
      <c r="AO54" s="98">
        <f t="shared" si="206"/>
        <v>21</v>
      </c>
      <c r="AP54" s="8"/>
      <c r="AQ54" s="166"/>
      <c r="AU54" s="176" t="s">
        <v>43</v>
      </c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60"/>
      <c r="BN54" s="120"/>
      <c r="BO54" s="177"/>
    </row>
    <row r="55" ht="15.0" customHeight="1">
      <c r="X55" s="178"/>
      <c r="Y55" s="179"/>
      <c r="Z55" s="179"/>
      <c r="AA55" s="179"/>
      <c r="AB55" s="179"/>
      <c r="AC55" s="179"/>
      <c r="AD55" s="179"/>
      <c r="AE55" s="179"/>
      <c r="AF55" s="120"/>
      <c r="AG55" s="120"/>
      <c r="AH55" s="120"/>
      <c r="AI55" s="120"/>
      <c r="AJ55" s="120"/>
      <c r="AK55" s="120"/>
      <c r="AL55" s="120"/>
      <c r="AM55" s="120"/>
      <c r="AN55" s="180"/>
      <c r="AO55" s="181">
        <f>SUM(AO53:AP54)</f>
        <v>46</v>
      </c>
      <c r="AP55" s="8"/>
      <c r="AQ55" s="166"/>
      <c r="AU55" s="182" t="s">
        <v>87</v>
      </c>
      <c r="AV55" s="3"/>
      <c r="AW55" s="3"/>
      <c r="AX55" s="3"/>
      <c r="AY55" s="3"/>
      <c r="AZ55" s="3"/>
      <c r="BA55" s="3"/>
      <c r="BB55" s="4"/>
      <c r="BC55" s="114">
        <v>28.0</v>
      </c>
      <c r="BD55" s="114">
        <v>30.0</v>
      </c>
      <c r="BE55" s="114">
        <v>32.0</v>
      </c>
      <c r="BF55" s="114">
        <v>34.0</v>
      </c>
      <c r="BG55" s="114">
        <v>36.0</v>
      </c>
      <c r="BH55" s="114">
        <v>38.0</v>
      </c>
      <c r="BI55" s="114">
        <v>40.0</v>
      </c>
      <c r="BJ55" s="114">
        <v>42.0</v>
      </c>
      <c r="BK55" s="114">
        <v>44.0</v>
      </c>
      <c r="BL55" s="183" t="s">
        <v>76</v>
      </c>
      <c r="BM55" s="4"/>
      <c r="BN55" s="120"/>
      <c r="BO55" s="177"/>
    </row>
    <row r="56">
      <c r="A56" s="83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84"/>
      <c r="AP56" s="184"/>
      <c r="AQ56" s="120"/>
      <c r="AU56" s="171"/>
      <c r="AV56" s="128"/>
      <c r="AW56" s="128"/>
      <c r="AX56" s="128"/>
      <c r="AY56" s="128"/>
      <c r="AZ56" s="128"/>
      <c r="BA56" s="128"/>
      <c r="BB56" s="162"/>
      <c r="BC56" s="111" t="s">
        <v>4</v>
      </c>
      <c r="BD56" s="111" t="s">
        <v>53</v>
      </c>
      <c r="BE56" s="111" t="s">
        <v>54</v>
      </c>
      <c r="BF56" s="111" t="s">
        <v>55</v>
      </c>
      <c r="BG56" s="111" t="s">
        <v>56</v>
      </c>
      <c r="BH56" s="111" t="s">
        <v>9</v>
      </c>
      <c r="BI56" s="111" t="s">
        <v>10</v>
      </c>
      <c r="BJ56" s="111" t="s">
        <v>11</v>
      </c>
      <c r="BK56" s="111" t="s">
        <v>12</v>
      </c>
      <c r="BL56" s="171"/>
      <c r="BM56" s="162"/>
      <c r="BN56" s="120"/>
    </row>
    <row r="57" ht="15.0" customHeight="1">
      <c r="A57" s="104"/>
      <c r="B57" s="85" t="s">
        <v>1</v>
      </c>
      <c r="C57" s="7"/>
      <c r="D57" s="7"/>
      <c r="E57" s="7"/>
      <c r="F57" s="7"/>
      <c r="G57" s="7"/>
      <c r="H57" s="7"/>
      <c r="I57" s="7"/>
      <c r="J57" s="8"/>
      <c r="K57" s="86" t="s">
        <v>2</v>
      </c>
      <c r="L57" s="7"/>
      <c r="M57" s="7"/>
      <c r="N57" s="7"/>
      <c r="O57" s="7"/>
      <c r="P57" s="7"/>
      <c r="Q57" s="7"/>
      <c r="R57" s="7"/>
      <c r="S57" s="7"/>
      <c r="T57" s="185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84"/>
      <c r="AP57" s="184"/>
      <c r="AQ57" s="120"/>
      <c r="AU57" s="174" t="s">
        <v>94</v>
      </c>
      <c r="AV57" s="7"/>
      <c r="AW57" s="7"/>
      <c r="AX57" s="7"/>
      <c r="AY57" s="7"/>
      <c r="AZ57" s="7"/>
      <c r="BA57" s="7"/>
      <c r="BB57" s="8"/>
      <c r="BC57" s="108">
        <f t="shared" ref="BC57:BD57" si="207">0+3</f>
        <v>3</v>
      </c>
      <c r="BD57" s="108">
        <f t="shared" si="207"/>
        <v>3</v>
      </c>
      <c r="BE57" s="108">
        <f t="shared" ref="BE57:BF57" si="208">0+5</f>
        <v>5</v>
      </c>
      <c r="BF57" s="108">
        <f t="shared" si="208"/>
        <v>5</v>
      </c>
      <c r="BG57" s="108">
        <f t="shared" ref="BG57:BG58" si="212">0+4</f>
        <v>4</v>
      </c>
      <c r="BH57" s="108">
        <f t="shared" ref="BH57:BI57" si="209">0+2</f>
        <v>2</v>
      </c>
      <c r="BI57" s="108">
        <f t="shared" si="209"/>
        <v>2</v>
      </c>
      <c r="BJ57" s="108">
        <f t="shared" ref="BJ57:BK57" si="210">0+1</f>
        <v>1</v>
      </c>
      <c r="BK57" s="108">
        <f t="shared" si="210"/>
        <v>1</v>
      </c>
      <c r="BL57" s="98">
        <f t="shared" ref="BL57:BL58" si="214">SUM(BC57:BK57)</f>
        <v>26</v>
      </c>
      <c r="BM57" s="8"/>
      <c r="BN57" s="120"/>
    </row>
    <row r="58" ht="15.0" customHeight="1">
      <c r="A58" s="104" t="s">
        <v>51</v>
      </c>
      <c r="B58" s="101" t="s">
        <v>4</v>
      </c>
      <c r="C58" s="101" t="s">
        <v>53</v>
      </c>
      <c r="D58" s="101" t="s">
        <v>54</v>
      </c>
      <c r="E58" s="101" t="s">
        <v>55</v>
      </c>
      <c r="F58" s="101" t="s">
        <v>56</v>
      </c>
      <c r="G58" s="101" t="s">
        <v>9</v>
      </c>
      <c r="H58" s="101" t="s">
        <v>10</v>
      </c>
      <c r="I58" s="101" t="s">
        <v>11</v>
      </c>
      <c r="J58" s="102" t="s">
        <v>12</v>
      </c>
      <c r="K58" s="103" t="s">
        <v>4</v>
      </c>
      <c r="L58" s="100" t="s">
        <v>53</v>
      </c>
      <c r="M58" s="100" t="s">
        <v>54</v>
      </c>
      <c r="N58" s="100" t="s">
        <v>55</v>
      </c>
      <c r="O58" s="100" t="s">
        <v>56</v>
      </c>
      <c r="P58" s="100" t="s">
        <v>9</v>
      </c>
      <c r="Q58" s="100" t="s">
        <v>10</v>
      </c>
      <c r="R58" s="100" t="s">
        <v>11</v>
      </c>
      <c r="S58" s="100" t="s">
        <v>12</v>
      </c>
      <c r="T58" s="95" t="s">
        <v>52</v>
      </c>
      <c r="X58" s="186" t="s">
        <v>95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87"/>
      <c r="AQ58" s="188"/>
      <c r="AU58" s="189" t="s">
        <v>58</v>
      </c>
      <c r="AV58" s="7"/>
      <c r="AW58" s="7"/>
      <c r="AX58" s="7"/>
      <c r="AY58" s="7"/>
      <c r="AZ58" s="7"/>
      <c r="BA58" s="7"/>
      <c r="BB58" s="8"/>
      <c r="BC58" s="108">
        <f t="shared" ref="BC58:BD58" si="211">0+3</f>
        <v>3</v>
      </c>
      <c r="BD58" s="108">
        <f t="shared" si="211"/>
        <v>3</v>
      </c>
      <c r="BE58" s="108">
        <f>0+8</f>
        <v>8</v>
      </c>
      <c r="BF58" s="108">
        <f>0+6</f>
        <v>6</v>
      </c>
      <c r="BG58" s="108">
        <f t="shared" si="212"/>
        <v>4</v>
      </c>
      <c r="BH58" s="108">
        <f>0+1</f>
        <v>1</v>
      </c>
      <c r="BI58" s="108">
        <f>0+3+1</f>
        <v>4</v>
      </c>
      <c r="BJ58" s="108">
        <f t="shared" ref="BJ58:BK58" si="213">0+1</f>
        <v>1</v>
      </c>
      <c r="BK58" s="108">
        <f t="shared" si="213"/>
        <v>1</v>
      </c>
      <c r="BL58" s="98">
        <f t="shared" si="214"/>
        <v>31</v>
      </c>
      <c r="BM58" s="8"/>
      <c r="BN58" s="120"/>
    </row>
    <row r="59" ht="15.0" customHeight="1">
      <c r="A59" s="104" t="s">
        <v>96</v>
      </c>
      <c r="B59" s="121">
        <f>1-1</f>
        <v>0</v>
      </c>
      <c r="C59" s="121">
        <f>0+1</f>
        <v>1</v>
      </c>
      <c r="D59" s="121">
        <f>7-4-3</f>
        <v>0</v>
      </c>
      <c r="E59" s="121">
        <f t="shared" ref="E59:F59" si="215">1-1</f>
        <v>0</v>
      </c>
      <c r="F59" s="121">
        <f t="shared" si="215"/>
        <v>0</v>
      </c>
      <c r="G59" s="121">
        <f t="shared" ref="G59:L59" si="216">1</f>
        <v>1</v>
      </c>
      <c r="H59" s="121">
        <f t="shared" si="216"/>
        <v>1</v>
      </c>
      <c r="I59" s="121">
        <f t="shared" si="216"/>
        <v>1</v>
      </c>
      <c r="J59" s="137">
        <f t="shared" si="216"/>
        <v>1</v>
      </c>
      <c r="K59" s="138">
        <f t="shared" si="216"/>
        <v>1</v>
      </c>
      <c r="L59" s="121">
        <f t="shared" si="216"/>
        <v>1</v>
      </c>
      <c r="M59" s="121">
        <f>2</f>
        <v>2</v>
      </c>
      <c r="N59" s="108">
        <f>0</f>
        <v>0</v>
      </c>
      <c r="O59" s="121">
        <f>2</f>
        <v>2</v>
      </c>
      <c r="P59" s="121">
        <f>1</f>
        <v>1</v>
      </c>
      <c r="Q59" s="121">
        <f t="shared" ref="Q59:S59" si="217">2</f>
        <v>2</v>
      </c>
      <c r="R59" s="121">
        <f t="shared" si="217"/>
        <v>2</v>
      </c>
      <c r="S59" s="121">
        <f t="shared" si="217"/>
        <v>2</v>
      </c>
      <c r="T59" s="114">
        <f>SUM(B59:S59)</f>
        <v>18</v>
      </c>
      <c r="X59" s="171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88"/>
      <c r="AU59" s="119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81">
        <f>SUM(BL57:BM58)</f>
        <v>57</v>
      </c>
      <c r="BM59" s="8"/>
      <c r="BN59" s="131"/>
    </row>
    <row r="60" ht="15.0" customHeight="1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1">
        <f>SUM(T59)</f>
        <v>18</v>
      </c>
      <c r="X60" s="104"/>
      <c r="Y60" s="190" t="s">
        <v>1</v>
      </c>
      <c r="Z60" s="7"/>
      <c r="AA60" s="7"/>
      <c r="AB60" s="7"/>
      <c r="AC60" s="7"/>
      <c r="AD60" s="7"/>
      <c r="AE60" s="7"/>
      <c r="AF60" s="8"/>
      <c r="AG60" s="191" t="s">
        <v>97</v>
      </c>
      <c r="AH60" s="7"/>
      <c r="AI60" s="7"/>
      <c r="AJ60" s="7"/>
      <c r="AK60" s="7"/>
      <c r="AL60" s="7"/>
      <c r="AM60" s="7"/>
      <c r="AN60" s="7"/>
      <c r="AO60" s="7"/>
      <c r="AP60" s="8"/>
      <c r="AQ60" s="192"/>
    </row>
    <row r="61" ht="15.0" customHeight="1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3"/>
      <c r="X61" s="104" t="s">
        <v>98</v>
      </c>
      <c r="Y61" s="114">
        <v>5.0</v>
      </c>
      <c r="Z61" s="114">
        <v>7.0</v>
      </c>
      <c r="AA61" s="114">
        <v>9.0</v>
      </c>
      <c r="AB61" s="114">
        <v>11.0</v>
      </c>
      <c r="AC61" s="114">
        <v>13.0</v>
      </c>
      <c r="AD61" s="114">
        <v>15.0</v>
      </c>
      <c r="AE61" s="114">
        <v>17.0</v>
      </c>
      <c r="AF61" s="193">
        <v>19.0</v>
      </c>
      <c r="AG61" s="194">
        <v>28.0</v>
      </c>
      <c r="AH61" s="114">
        <v>30.0</v>
      </c>
      <c r="AI61" s="114">
        <v>32.0</v>
      </c>
      <c r="AJ61" s="114">
        <v>34.0</v>
      </c>
      <c r="AK61" s="114">
        <v>36.0</v>
      </c>
      <c r="AL61" s="114">
        <v>38.0</v>
      </c>
      <c r="AM61" s="114">
        <v>40.0</v>
      </c>
      <c r="AN61" s="114">
        <v>42.0</v>
      </c>
      <c r="AO61" s="114">
        <v>44.0</v>
      </c>
      <c r="AP61" s="114">
        <v>46.0</v>
      </c>
      <c r="AQ61" s="99"/>
      <c r="AU61" s="83" t="s">
        <v>99</v>
      </c>
      <c r="AV61" s="7"/>
      <c r="AW61" s="7"/>
      <c r="AX61" s="7"/>
      <c r="AY61" s="7"/>
      <c r="AZ61" s="7"/>
      <c r="BA61" s="7"/>
      <c r="BB61" s="7"/>
      <c r="BC61" s="7"/>
      <c r="BD61" s="8"/>
      <c r="BE61" s="195"/>
    </row>
    <row r="62" ht="15.0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3"/>
      <c r="X62" s="196" t="s">
        <v>14</v>
      </c>
      <c r="Y62" s="197">
        <f t="shared" ref="Y62:AH62" si="218">0</f>
        <v>0</v>
      </c>
      <c r="Z62" s="197">
        <f t="shared" si="218"/>
        <v>0</v>
      </c>
      <c r="AA62" s="197">
        <f t="shared" si="218"/>
        <v>0</v>
      </c>
      <c r="AB62" s="197">
        <f t="shared" si="218"/>
        <v>0</v>
      </c>
      <c r="AC62" s="197">
        <f t="shared" si="218"/>
        <v>0</v>
      </c>
      <c r="AD62" s="197">
        <f t="shared" si="218"/>
        <v>0</v>
      </c>
      <c r="AE62" s="197">
        <f t="shared" si="218"/>
        <v>0</v>
      </c>
      <c r="AF62" s="197">
        <f t="shared" si="218"/>
        <v>0</v>
      </c>
      <c r="AG62" s="197">
        <f t="shared" si="218"/>
        <v>0</v>
      </c>
      <c r="AH62" s="197">
        <f t="shared" si="218"/>
        <v>0</v>
      </c>
      <c r="AI62" s="197">
        <f>0+3</f>
        <v>3</v>
      </c>
      <c r="AJ62" s="197">
        <f>0+2</f>
        <v>2</v>
      </c>
      <c r="AK62" s="197">
        <f t="shared" ref="AK62:AP62" si="219">0</f>
        <v>0</v>
      </c>
      <c r="AL62" s="197">
        <f t="shared" si="219"/>
        <v>0</v>
      </c>
      <c r="AM62" s="197">
        <f t="shared" si="219"/>
        <v>0</v>
      </c>
      <c r="AN62" s="197">
        <f t="shared" si="219"/>
        <v>0</v>
      </c>
      <c r="AO62" s="197">
        <f t="shared" si="219"/>
        <v>0</v>
      </c>
      <c r="AP62" s="197">
        <f t="shared" si="219"/>
        <v>0</v>
      </c>
      <c r="AQ62" s="198">
        <f>SUM(Y62:AP63)</f>
        <v>5</v>
      </c>
      <c r="AU62" s="104"/>
      <c r="AV62" s="114"/>
      <c r="AW62" s="91"/>
      <c r="AX62" s="7"/>
      <c r="AY62" s="7"/>
      <c r="AZ62" s="7"/>
      <c r="BA62" s="7"/>
      <c r="BB62" s="7"/>
      <c r="BC62" s="8"/>
      <c r="BD62" s="114"/>
      <c r="BE62" s="120"/>
    </row>
    <row r="63" ht="15.0" customHeight="1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U63" s="90" t="s">
        <v>87</v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1" t="s">
        <v>85</v>
      </c>
    </row>
    <row r="64" ht="18.75" customHeight="1">
      <c r="A64" s="83" t="s">
        <v>100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AU64" s="99"/>
      <c r="AV64" s="199" t="s">
        <v>4</v>
      </c>
      <c r="AW64" s="111" t="s">
        <v>53</v>
      </c>
      <c r="AX64" s="111" t="s">
        <v>54</v>
      </c>
      <c r="AY64" s="111" t="s">
        <v>55</v>
      </c>
      <c r="AZ64" s="111" t="s">
        <v>56</v>
      </c>
      <c r="BA64" s="111" t="s">
        <v>9</v>
      </c>
      <c r="BB64" s="111" t="s">
        <v>10</v>
      </c>
      <c r="BC64" s="111" t="s">
        <v>11</v>
      </c>
      <c r="BD64" s="111" t="s">
        <v>91</v>
      </c>
      <c r="BE64" s="200"/>
    </row>
    <row r="65" ht="15.0" customHeight="1">
      <c r="A65" s="84"/>
      <c r="B65" s="85" t="s">
        <v>1</v>
      </c>
      <c r="C65" s="7"/>
      <c r="D65" s="7"/>
      <c r="E65" s="7"/>
      <c r="F65" s="7"/>
      <c r="G65" s="7"/>
      <c r="H65" s="7"/>
      <c r="I65" s="7"/>
      <c r="J65" s="8"/>
      <c r="K65" s="86" t="s">
        <v>2</v>
      </c>
      <c r="L65" s="7"/>
      <c r="M65" s="7"/>
      <c r="N65" s="7"/>
      <c r="O65" s="7"/>
      <c r="P65" s="7"/>
      <c r="Q65" s="7"/>
      <c r="R65" s="7"/>
      <c r="S65" s="7"/>
      <c r="T65" s="8"/>
      <c r="AU65" s="104" t="s">
        <v>67</v>
      </c>
      <c r="AV65" s="108">
        <f>0+1</f>
        <v>1</v>
      </c>
      <c r="AW65" s="108">
        <f>0+2</f>
        <v>2</v>
      </c>
      <c r="AX65" s="108">
        <f>0+2-1-1+1</f>
        <v>1</v>
      </c>
      <c r="AY65" s="108">
        <f t="shared" ref="AY65:BA65" si="220">0+1</f>
        <v>1</v>
      </c>
      <c r="AZ65" s="108">
        <f t="shared" si="220"/>
        <v>1</v>
      </c>
      <c r="BA65" s="108">
        <f t="shared" si="220"/>
        <v>1</v>
      </c>
      <c r="BB65" s="108">
        <f t="shared" ref="BB65:BD65" si="221">0</f>
        <v>0</v>
      </c>
      <c r="BC65" s="108">
        <f t="shared" si="221"/>
        <v>0</v>
      </c>
      <c r="BD65" s="108">
        <f t="shared" si="221"/>
        <v>0</v>
      </c>
      <c r="BE65" s="114">
        <f t="shared" ref="BE65:BE69" si="224">SUM(AV65:BD65)</f>
        <v>7</v>
      </c>
    </row>
    <row r="66" ht="15.0" customHeight="1">
      <c r="A66" s="84" t="s">
        <v>51</v>
      </c>
      <c r="B66" s="92">
        <v>28.0</v>
      </c>
      <c r="C66" s="92">
        <v>30.0</v>
      </c>
      <c r="D66" s="92">
        <v>32.0</v>
      </c>
      <c r="E66" s="92">
        <v>34.0</v>
      </c>
      <c r="F66" s="92">
        <v>36.0</v>
      </c>
      <c r="G66" s="92">
        <v>38.0</v>
      </c>
      <c r="H66" s="92">
        <v>40.0</v>
      </c>
      <c r="I66" s="92"/>
      <c r="J66" s="93"/>
      <c r="K66" s="94">
        <v>28.0</v>
      </c>
      <c r="L66" s="95">
        <v>30.0</v>
      </c>
      <c r="M66" s="95">
        <v>32.0</v>
      </c>
      <c r="N66" s="95">
        <v>34.0</v>
      </c>
      <c r="O66" s="95">
        <v>36.0</v>
      </c>
      <c r="P66" s="95">
        <v>38.0</v>
      </c>
      <c r="Q66" s="95">
        <v>40.0</v>
      </c>
      <c r="R66" s="95"/>
      <c r="S66" s="95"/>
      <c r="T66" s="96" t="s">
        <v>52</v>
      </c>
      <c r="AU66" s="104" t="s">
        <v>14</v>
      </c>
      <c r="AV66" s="121">
        <f>1</f>
        <v>1</v>
      </c>
      <c r="AW66" s="108">
        <f>0</f>
        <v>0</v>
      </c>
      <c r="AX66" s="121">
        <f>1</f>
        <v>1</v>
      </c>
      <c r="AY66" s="108">
        <f t="shared" ref="AY66:AZ66" si="222">0</f>
        <v>0</v>
      </c>
      <c r="AZ66" s="108">
        <f t="shared" si="222"/>
        <v>0</v>
      </c>
      <c r="BA66" s="121">
        <f>1</f>
        <v>1</v>
      </c>
      <c r="BB66" s="108">
        <f t="shared" ref="BB66:BD66" si="223">0</f>
        <v>0</v>
      </c>
      <c r="BC66" s="108">
        <f t="shared" si="223"/>
        <v>0</v>
      </c>
      <c r="BD66" s="108">
        <f t="shared" si="223"/>
        <v>0</v>
      </c>
      <c r="BE66" s="114">
        <f t="shared" si="224"/>
        <v>3</v>
      </c>
    </row>
    <row r="67" ht="15.0" customHeight="1">
      <c r="A67" s="84"/>
      <c r="B67" s="101" t="s">
        <v>4</v>
      </c>
      <c r="C67" s="101" t="s">
        <v>53</v>
      </c>
      <c r="D67" s="101" t="s">
        <v>54</v>
      </c>
      <c r="E67" s="101" t="s">
        <v>55</v>
      </c>
      <c r="F67" s="101" t="s">
        <v>56</v>
      </c>
      <c r="G67" s="101" t="s">
        <v>9</v>
      </c>
      <c r="H67" s="101" t="s">
        <v>10</v>
      </c>
      <c r="I67" s="101" t="s">
        <v>11</v>
      </c>
      <c r="J67" s="102" t="s">
        <v>12</v>
      </c>
      <c r="K67" s="103" t="s">
        <v>4</v>
      </c>
      <c r="L67" s="100" t="s">
        <v>53</v>
      </c>
      <c r="M67" s="100" t="s">
        <v>54</v>
      </c>
      <c r="N67" s="100" t="s">
        <v>55</v>
      </c>
      <c r="O67" s="100" t="s">
        <v>56</v>
      </c>
      <c r="P67" s="100" t="s">
        <v>9</v>
      </c>
      <c r="Q67" s="100" t="s">
        <v>10</v>
      </c>
      <c r="R67" s="100" t="s">
        <v>11</v>
      </c>
      <c r="S67" s="100" t="s">
        <v>12</v>
      </c>
      <c r="T67" s="99"/>
      <c r="AU67" s="104" t="s">
        <v>15</v>
      </c>
      <c r="AV67" s="108">
        <f t="shared" ref="AV67:AZ67" si="225">0</f>
        <v>0</v>
      </c>
      <c r="AW67" s="108">
        <f t="shared" si="225"/>
        <v>0</v>
      </c>
      <c r="AX67" s="108">
        <f t="shared" si="225"/>
        <v>0</v>
      </c>
      <c r="AY67" s="108">
        <f t="shared" si="225"/>
        <v>0</v>
      </c>
      <c r="AZ67" s="108">
        <f t="shared" si="225"/>
        <v>0</v>
      </c>
      <c r="BA67" s="108">
        <f>0+1</f>
        <v>1</v>
      </c>
      <c r="BB67" s="108">
        <f t="shared" ref="BB67:BD67" si="226">0</f>
        <v>0</v>
      </c>
      <c r="BC67" s="108">
        <f t="shared" si="226"/>
        <v>0</v>
      </c>
      <c r="BD67" s="108">
        <f t="shared" si="226"/>
        <v>0</v>
      </c>
      <c r="BE67" s="114">
        <f t="shared" si="224"/>
        <v>1</v>
      </c>
    </row>
    <row r="68" ht="15.0" customHeight="1">
      <c r="A68" s="84" t="s">
        <v>15</v>
      </c>
      <c r="B68" s="108">
        <f t="shared" ref="B68:C68" si="227">0+2</f>
        <v>2</v>
      </c>
      <c r="C68" s="108">
        <f t="shared" si="227"/>
        <v>2</v>
      </c>
      <c r="D68" s="121">
        <f>2+2</f>
        <v>4</v>
      </c>
      <c r="E68" s="108">
        <f t="shared" ref="E68:H68" si="228">0+2</f>
        <v>2</v>
      </c>
      <c r="F68" s="108">
        <f t="shared" si="228"/>
        <v>2</v>
      </c>
      <c r="G68" s="108">
        <f t="shared" si="228"/>
        <v>2</v>
      </c>
      <c r="H68" s="108">
        <f t="shared" si="228"/>
        <v>2</v>
      </c>
      <c r="I68" s="108">
        <f t="shared" ref="I68:J68" si="229">0+1</f>
        <v>1</v>
      </c>
      <c r="J68" s="108">
        <f t="shared" si="229"/>
        <v>1</v>
      </c>
      <c r="K68" s="108">
        <f t="shared" ref="K68:M68" si="230">0+2</f>
        <v>2</v>
      </c>
      <c r="L68" s="108">
        <f t="shared" si="230"/>
        <v>2</v>
      </c>
      <c r="M68" s="108">
        <f t="shared" si="230"/>
        <v>2</v>
      </c>
      <c r="N68" s="121">
        <f>1+2+1</f>
        <v>4</v>
      </c>
      <c r="O68" s="108">
        <f t="shared" ref="O68:Q68" si="231">0+2</f>
        <v>2</v>
      </c>
      <c r="P68" s="108">
        <f t="shared" si="231"/>
        <v>2</v>
      </c>
      <c r="Q68" s="108">
        <f t="shared" si="231"/>
        <v>2</v>
      </c>
      <c r="R68" s="108">
        <f t="shared" ref="R68:S68" si="232">0+1</f>
        <v>1</v>
      </c>
      <c r="S68" s="108">
        <f t="shared" si="232"/>
        <v>1</v>
      </c>
      <c r="T68" s="114">
        <f t="shared" ref="T68:T69" si="240">SUM(B68:S68)</f>
        <v>36</v>
      </c>
      <c r="AU68" s="104" t="s">
        <v>44</v>
      </c>
      <c r="AV68" s="108">
        <f>0</f>
        <v>0</v>
      </c>
      <c r="AW68" s="108">
        <f>1</f>
        <v>1</v>
      </c>
      <c r="AX68" s="108">
        <f t="shared" ref="AX68:AY68" si="233">0</f>
        <v>0</v>
      </c>
      <c r="AY68" s="108">
        <f t="shared" si="233"/>
        <v>0</v>
      </c>
      <c r="AZ68" s="121">
        <f>1</f>
        <v>1</v>
      </c>
      <c r="BA68" s="108">
        <f>0</f>
        <v>0</v>
      </c>
      <c r="BB68" s="121">
        <v>1.0</v>
      </c>
      <c r="BC68" s="108">
        <f t="shared" ref="BC68:BD68" si="234">0</f>
        <v>0</v>
      </c>
      <c r="BD68" s="108">
        <f t="shared" si="234"/>
        <v>0</v>
      </c>
      <c r="BE68" s="114">
        <f t="shared" si="224"/>
        <v>3</v>
      </c>
    </row>
    <row r="69" ht="15.0" customHeight="1">
      <c r="A69" s="84" t="s">
        <v>101</v>
      </c>
      <c r="B69" s="108">
        <f t="shared" ref="B69:C69" si="235">0</f>
        <v>0</v>
      </c>
      <c r="C69" s="108">
        <f t="shared" si="235"/>
        <v>0</v>
      </c>
      <c r="D69" s="121">
        <f>4</f>
        <v>4</v>
      </c>
      <c r="E69" s="121">
        <f>2</f>
        <v>2</v>
      </c>
      <c r="F69" s="108">
        <f>0</f>
        <v>0</v>
      </c>
      <c r="G69" s="121">
        <f t="shared" ref="G69:H69" si="236">1</f>
        <v>1</v>
      </c>
      <c r="H69" s="121">
        <f t="shared" si="236"/>
        <v>1</v>
      </c>
      <c r="I69" s="108">
        <f t="shared" ref="I69:J69" si="237">0</f>
        <v>0</v>
      </c>
      <c r="J69" s="108">
        <f t="shared" si="237"/>
        <v>0</v>
      </c>
      <c r="K69" s="138">
        <f>1-1</f>
        <v>0</v>
      </c>
      <c r="L69" s="121">
        <f>3</f>
        <v>3</v>
      </c>
      <c r="M69" s="121">
        <f>4-1+1+1</f>
        <v>5</v>
      </c>
      <c r="N69" s="121">
        <f t="shared" ref="N69:O69" si="238">4</f>
        <v>4</v>
      </c>
      <c r="O69" s="121">
        <f t="shared" si="238"/>
        <v>4</v>
      </c>
      <c r="P69" s="121">
        <f t="shared" ref="P69:S69" si="239">1</f>
        <v>1</v>
      </c>
      <c r="Q69" s="121">
        <f t="shared" si="239"/>
        <v>1</v>
      </c>
      <c r="R69" s="121">
        <f t="shared" si="239"/>
        <v>1</v>
      </c>
      <c r="S69" s="121">
        <f t="shared" si="239"/>
        <v>1</v>
      </c>
      <c r="T69" s="114">
        <f t="shared" si="240"/>
        <v>28</v>
      </c>
      <c r="AU69" s="104" t="s">
        <v>102</v>
      </c>
      <c r="AV69" s="121">
        <f t="shared" ref="AV69:BA69" si="241">1</f>
        <v>1</v>
      </c>
      <c r="AW69" s="121">
        <f t="shared" si="241"/>
        <v>1</v>
      </c>
      <c r="AX69" s="121">
        <f t="shared" si="241"/>
        <v>1</v>
      </c>
      <c r="AY69" s="201">
        <f t="shared" si="241"/>
        <v>1</v>
      </c>
      <c r="AZ69" s="121">
        <f t="shared" si="241"/>
        <v>1</v>
      </c>
      <c r="BA69" s="201">
        <f t="shared" si="241"/>
        <v>1</v>
      </c>
      <c r="BB69" s="108">
        <f t="shared" ref="BB69:BD69" si="242">0</f>
        <v>0</v>
      </c>
      <c r="BC69" s="108">
        <f t="shared" si="242"/>
        <v>0</v>
      </c>
      <c r="BD69" s="108">
        <f t="shared" si="242"/>
        <v>0</v>
      </c>
      <c r="BE69" s="114">
        <f t="shared" si="224"/>
        <v>6</v>
      </c>
    </row>
    <row r="70" ht="15.0" customHeight="1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>
        <f>SUM(T68:T69)</f>
        <v>64</v>
      </c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202">
        <f>SUM(BE65:BE69)</f>
        <v>20</v>
      </c>
    </row>
    <row r="71" ht="15.0" customHeight="1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3"/>
    </row>
    <row r="72" ht="15.0" customHeight="1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3"/>
    </row>
    <row r="73" ht="12.0" customHeight="1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ht="21.75" customHeight="1">
      <c r="A74" s="83" t="s">
        <v>103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</row>
    <row r="75" ht="15.0" customHeight="1">
      <c r="A75" s="84"/>
      <c r="B75" s="85" t="s">
        <v>1</v>
      </c>
      <c r="C75" s="7"/>
      <c r="D75" s="7"/>
      <c r="E75" s="7"/>
      <c r="F75" s="7"/>
      <c r="G75" s="7"/>
      <c r="H75" s="7"/>
      <c r="I75" s="7"/>
      <c r="J75" s="8"/>
      <c r="K75" s="86" t="s">
        <v>2</v>
      </c>
      <c r="L75" s="7"/>
      <c r="M75" s="7"/>
      <c r="N75" s="7"/>
      <c r="O75" s="7"/>
      <c r="P75" s="7"/>
      <c r="Q75" s="7"/>
      <c r="R75" s="7"/>
      <c r="S75" s="7"/>
      <c r="T75" s="8"/>
    </row>
    <row r="76" ht="15.0" customHeight="1">
      <c r="A76" s="84" t="s">
        <v>51</v>
      </c>
      <c r="B76" s="92">
        <v>28.0</v>
      </c>
      <c r="C76" s="92">
        <v>30.0</v>
      </c>
      <c r="D76" s="92">
        <v>32.0</v>
      </c>
      <c r="E76" s="92">
        <v>34.0</v>
      </c>
      <c r="F76" s="92">
        <v>36.0</v>
      </c>
      <c r="G76" s="92">
        <v>38.0</v>
      </c>
      <c r="H76" s="92">
        <v>40.0</v>
      </c>
      <c r="I76" s="92"/>
      <c r="J76" s="93"/>
      <c r="K76" s="94">
        <v>28.0</v>
      </c>
      <c r="L76" s="95">
        <v>30.0</v>
      </c>
      <c r="M76" s="95">
        <v>32.0</v>
      </c>
      <c r="N76" s="95">
        <v>34.0</v>
      </c>
      <c r="O76" s="95">
        <v>36.0</v>
      </c>
      <c r="P76" s="95">
        <v>38.0</v>
      </c>
      <c r="Q76" s="95">
        <v>40.0</v>
      </c>
      <c r="R76" s="95"/>
      <c r="S76" s="95"/>
      <c r="T76" s="96" t="s">
        <v>52</v>
      </c>
    </row>
    <row r="77" ht="15.0" customHeight="1">
      <c r="A77" s="84"/>
      <c r="B77" s="101" t="s">
        <v>4</v>
      </c>
      <c r="C77" s="101" t="s">
        <v>53</v>
      </c>
      <c r="D77" s="101" t="s">
        <v>54</v>
      </c>
      <c r="E77" s="101" t="s">
        <v>55</v>
      </c>
      <c r="F77" s="101" t="s">
        <v>56</v>
      </c>
      <c r="G77" s="101" t="s">
        <v>9</v>
      </c>
      <c r="H77" s="101" t="s">
        <v>10</v>
      </c>
      <c r="I77" s="101" t="s">
        <v>11</v>
      </c>
      <c r="J77" s="102" t="s">
        <v>12</v>
      </c>
      <c r="K77" s="103" t="s">
        <v>4</v>
      </c>
      <c r="L77" s="100" t="s">
        <v>53</v>
      </c>
      <c r="M77" s="100" t="s">
        <v>54</v>
      </c>
      <c r="N77" s="100" t="s">
        <v>55</v>
      </c>
      <c r="O77" s="100" t="s">
        <v>56</v>
      </c>
      <c r="P77" s="100" t="s">
        <v>9</v>
      </c>
      <c r="Q77" s="100" t="s">
        <v>10</v>
      </c>
      <c r="R77" s="100" t="s">
        <v>11</v>
      </c>
      <c r="S77" s="100" t="s">
        <v>12</v>
      </c>
      <c r="T77" s="99"/>
      <c r="BN77" s="203" t="s">
        <v>104</v>
      </c>
      <c r="BO77" s="203"/>
    </row>
    <row r="78" ht="15.0" customHeight="1">
      <c r="A78" s="84" t="s">
        <v>16</v>
      </c>
      <c r="B78" s="121">
        <f t="shared" ref="B78:F78" si="243">2</f>
        <v>2</v>
      </c>
      <c r="C78" s="121">
        <f t="shared" si="243"/>
        <v>2</v>
      </c>
      <c r="D78" s="121">
        <f t="shared" si="243"/>
        <v>2</v>
      </c>
      <c r="E78" s="121">
        <f t="shared" si="243"/>
        <v>2</v>
      </c>
      <c r="F78" s="121">
        <f t="shared" si="243"/>
        <v>2</v>
      </c>
      <c r="G78" s="121">
        <f t="shared" ref="G78:J78" si="244">1</f>
        <v>1</v>
      </c>
      <c r="H78" s="121">
        <f t="shared" si="244"/>
        <v>1</v>
      </c>
      <c r="I78" s="121">
        <f t="shared" si="244"/>
        <v>1</v>
      </c>
      <c r="J78" s="137">
        <f t="shared" si="244"/>
        <v>1</v>
      </c>
      <c r="K78" s="138">
        <f t="shared" ref="K78:L78" si="245">2</f>
        <v>2</v>
      </c>
      <c r="L78" s="121">
        <f t="shared" si="245"/>
        <v>2</v>
      </c>
      <c r="M78" s="121">
        <f>3</f>
        <v>3</v>
      </c>
      <c r="N78" s="121">
        <f t="shared" ref="N78:O78" si="246">2</f>
        <v>2</v>
      </c>
      <c r="O78" s="121">
        <f t="shared" si="246"/>
        <v>2</v>
      </c>
      <c r="P78" s="121">
        <f t="shared" ref="P78:S78" si="247">1</f>
        <v>1</v>
      </c>
      <c r="Q78" s="121">
        <f t="shared" si="247"/>
        <v>1</v>
      </c>
      <c r="R78" s="121">
        <f t="shared" si="247"/>
        <v>1</v>
      </c>
      <c r="S78" s="121">
        <f t="shared" si="247"/>
        <v>1</v>
      </c>
      <c r="T78" s="114">
        <f t="shared" ref="T78:T80" si="251">SUM(B78:S78)</f>
        <v>29</v>
      </c>
    </row>
    <row r="79" ht="15.0" customHeight="1">
      <c r="A79" s="84" t="s">
        <v>105</v>
      </c>
      <c r="B79" s="121">
        <f t="shared" ref="B79:G79" si="248">2</f>
        <v>2</v>
      </c>
      <c r="C79" s="121">
        <f t="shared" si="248"/>
        <v>2</v>
      </c>
      <c r="D79" s="121">
        <f t="shared" si="248"/>
        <v>2</v>
      </c>
      <c r="E79" s="121">
        <f t="shared" si="248"/>
        <v>2</v>
      </c>
      <c r="F79" s="121">
        <f t="shared" si="248"/>
        <v>2</v>
      </c>
      <c r="G79" s="121">
        <f t="shared" si="248"/>
        <v>2</v>
      </c>
      <c r="H79" s="108">
        <f>0</f>
        <v>0</v>
      </c>
      <c r="I79" s="121">
        <f t="shared" ref="I79:J79" si="249">1</f>
        <v>1</v>
      </c>
      <c r="J79" s="137">
        <f t="shared" si="249"/>
        <v>1</v>
      </c>
      <c r="K79" s="138">
        <f>2</f>
        <v>2</v>
      </c>
      <c r="L79" s="121">
        <f>3</f>
        <v>3</v>
      </c>
      <c r="M79" s="121">
        <f>2</f>
        <v>2</v>
      </c>
      <c r="N79" s="121">
        <f>2-1+1</f>
        <v>2</v>
      </c>
      <c r="O79" s="121">
        <f>2</f>
        <v>2</v>
      </c>
      <c r="P79" s="121">
        <f t="shared" ref="P79:S79" si="250">1</f>
        <v>1</v>
      </c>
      <c r="Q79" s="121">
        <f t="shared" si="250"/>
        <v>1</v>
      </c>
      <c r="R79" s="121">
        <f t="shared" si="250"/>
        <v>1</v>
      </c>
      <c r="S79" s="121">
        <f t="shared" si="250"/>
        <v>1</v>
      </c>
      <c r="T79" s="114">
        <f t="shared" si="251"/>
        <v>29</v>
      </c>
    </row>
    <row r="80" ht="15.0" customHeight="1">
      <c r="A80" s="204" t="s">
        <v>14</v>
      </c>
      <c r="B80" s="121">
        <f t="shared" ref="B80:C80" si="252">2</f>
        <v>2</v>
      </c>
      <c r="C80" s="121">
        <f t="shared" si="252"/>
        <v>2</v>
      </c>
      <c r="D80" s="121">
        <f>3</f>
        <v>3</v>
      </c>
      <c r="E80" s="121">
        <f t="shared" ref="E80:F80" si="253">2</f>
        <v>2</v>
      </c>
      <c r="F80" s="121">
        <f t="shared" si="253"/>
        <v>2</v>
      </c>
      <c r="G80" s="121">
        <f t="shared" ref="G80:H80" si="254">1</f>
        <v>1</v>
      </c>
      <c r="H80" s="121">
        <f t="shared" si="254"/>
        <v>1</v>
      </c>
      <c r="I80" s="121">
        <f>3</f>
        <v>3</v>
      </c>
      <c r="J80" s="137">
        <f>1</f>
        <v>1</v>
      </c>
      <c r="K80" s="138">
        <f>2-1</f>
        <v>1</v>
      </c>
      <c r="L80" s="121">
        <f>2</f>
        <v>2</v>
      </c>
      <c r="M80" s="108">
        <f>0</f>
        <v>0</v>
      </c>
      <c r="N80" s="108">
        <f>0+1-1</f>
        <v>0</v>
      </c>
      <c r="O80" s="108">
        <f t="shared" ref="O80:P80" si="255">0</f>
        <v>0</v>
      </c>
      <c r="P80" s="108">
        <f t="shared" si="255"/>
        <v>0</v>
      </c>
      <c r="Q80" s="121">
        <f>2-1</f>
        <v>1</v>
      </c>
      <c r="R80" s="108">
        <f>0</f>
        <v>0</v>
      </c>
      <c r="S80" s="121">
        <f>2</f>
        <v>2</v>
      </c>
      <c r="T80" s="114">
        <f t="shared" si="251"/>
        <v>23</v>
      </c>
    </row>
    <row r="81" ht="15.0" customHeight="1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1">
        <f>SUM(T78:T80)</f>
        <v>81</v>
      </c>
    </row>
    <row r="82" ht="15.0" customHeight="1"/>
    <row r="83" ht="15.0" customHeight="1">
      <c r="A83" s="205" t="s">
        <v>106</v>
      </c>
      <c r="B83" s="206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7"/>
    </row>
    <row r="84" ht="15.0" customHeight="1">
      <c r="A84" s="20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ht="15.0" customHeight="1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</row>
    <row r="86" ht="15.75" customHeight="1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31"/>
    </row>
    <row r="87" ht="15.0" customHeight="1">
      <c r="A87" s="209"/>
      <c r="B87" s="210"/>
      <c r="C87" s="210"/>
      <c r="D87" s="210"/>
      <c r="E87" s="91" t="s">
        <v>107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120"/>
      <c r="T87" s="131"/>
    </row>
    <row r="88" ht="15.0" customHeight="1">
      <c r="A88" s="139"/>
      <c r="B88" s="120"/>
      <c r="C88" s="120"/>
      <c r="D88" s="120"/>
      <c r="E88" s="211" t="s">
        <v>51</v>
      </c>
      <c r="F88" s="3"/>
      <c r="G88" s="4"/>
      <c r="H88" s="111"/>
      <c r="I88" s="111"/>
      <c r="J88" s="111"/>
      <c r="K88" s="111"/>
      <c r="L88" s="111"/>
      <c r="M88" s="111"/>
      <c r="N88" s="111"/>
      <c r="O88" s="111"/>
      <c r="P88" s="111"/>
      <c r="Q88" s="211" t="s">
        <v>85</v>
      </c>
      <c r="R88" s="4"/>
      <c r="S88" s="131"/>
      <c r="T88" s="120"/>
    </row>
    <row r="89" ht="15.0" customHeight="1">
      <c r="A89" s="212"/>
      <c r="B89" s="120"/>
      <c r="C89" s="120"/>
      <c r="D89" s="120"/>
      <c r="E89" s="171"/>
      <c r="F89" s="128"/>
      <c r="G89" s="162"/>
      <c r="H89" s="111" t="s">
        <v>4</v>
      </c>
      <c r="I89" s="111" t="s">
        <v>53</v>
      </c>
      <c r="J89" s="111" t="s">
        <v>54</v>
      </c>
      <c r="K89" s="111" t="s">
        <v>55</v>
      </c>
      <c r="L89" s="111" t="s">
        <v>56</v>
      </c>
      <c r="M89" s="111" t="s">
        <v>9</v>
      </c>
      <c r="N89" s="111" t="s">
        <v>10</v>
      </c>
      <c r="O89" s="111" t="s">
        <v>11</v>
      </c>
      <c r="P89" s="111" t="s">
        <v>12</v>
      </c>
      <c r="Q89" s="171"/>
      <c r="R89" s="162"/>
      <c r="S89" s="131"/>
      <c r="T89" s="131"/>
    </row>
    <row r="90" ht="15.0" customHeight="1">
      <c r="A90" s="119"/>
      <c r="B90" s="120"/>
      <c r="C90" s="120"/>
      <c r="D90" s="120"/>
      <c r="E90" s="98" t="s">
        <v>13</v>
      </c>
      <c r="F90" s="7"/>
      <c r="G90" s="8"/>
      <c r="H90" s="108">
        <f>0+2</f>
        <v>2</v>
      </c>
      <c r="I90" s="108">
        <f t="shared" ref="I90:J90" si="256">0</f>
        <v>0</v>
      </c>
      <c r="J90" s="108">
        <f t="shared" si="256"/>
        <v>0</v>
      </c>
      <c r="K90" s="108">
        <f>0+1</f>
        <v>1</v>
      </c>
      <c r="L90" s="108">
        <f>0</f>
        <v>0</v>
      </c>
      <c r="M90" s="108">
        <f>0+1</f>
        <v>1</v>
      </c>
      <c r="N90" s="108">
        <f t="shared" ref="N90:P90" si="257">0</f>
        <v>0</v>
      </c>
      <c r="O90" s="108">
        <f t="shared" si="257"/>
        <v>0</v>
      </c>
      <c r="P90" s="108">
        <f t="shared" si="257"/>
        <v>0</v>
      </c>
      <c r="Q90" s="181">
        <f t="shared" ref="Q90:Q92" si="260">SUM(H90:P90)</f>
        <v>4</v>
      </c>
      <c r="R90" s="8"/>
      <c r="S90" s="123"/>
      <c r="T90" s="123"/>
    </row>
    <row r="91" ht="15.0" customHeight="1">
      <c r="A91" s="119"/>
      <c r="B91" s="120"/>
      <c r="C91" s="120"/>
      <c r="D91" s="120"/>
      <c r="E91" s="98" t="s">
        <v>40</v>
      </c>
      <c r="F91" s="7"/>
      <c r="G91" s="8"/>
      <c r="H91" s="108">
        <f t="shared" ref="H91:I91" si="258">0+1</f>
        <v>1</v>
      </c>
      <c r="I91" s="108">
        <f t="shared" si="258"/>
        <v>1</v>
      </c>
      <c r="J91" s="108">
        <f>0+2</f>
        <v>2</v>
      </c>
      <c r="K91" s="108">
        <f>0+3</f>
        <v>3</v>
      </c>
      <c r="L91" s="108">
        <f t="shared" ref="L91:L92" si="262">0+2</f>
        <v>2</v>
      </c>
      <c r="M91" s="108">
        <f t="shared" ref="M91:P91" si="259">0</f>
        <v>0</v>
      </c>
      <c r="N91" s="108">
        <f t="shared" si="259"/>
        <v>0</v>
      </c>
      <c r="O91" s="108">
        <f t="shared" si="259"/>
        <v>0</v>
      </c>
      <c r="P91" s="108">
        <f t="shared" si="259"/>
        <v>0</v>
      </c>
      <c r="Q91" s="181">
        <f t="shared" si="260"/>
        <v>9</v>
      </c>
      <c r="R91" s="8"/>
      <c r="S91" s="123"/>
      <c r="T91" s="123"/>
    </row>
    <row r="92" ht="15.0" customHeight="1">
      <c r="A92" s="119"/>
      <c r="B92" s="120"/>
      <c r="C92" s="120"/>
      <c r="D92" s="120"/>
      <c r="E92" s="98" t="s">
        <v>16</v>
      </c>
      <c r="F92" s="7"/>
      <c r="G92" s="8"/>
      <c r="H92" s="108">
        <f t="shared" ref="H92:K92" si="261">0</f>
        <v>0</v>
      </c>
      <c r="I92" s="108">
        <f t="shared" si="261"/>
        <v>0</v>
      </c>
      <c r="J92" s="108">
        <f t="shared" si="261"/>
        <v>0</v>
      </c>
      <c r="K92" s="108">
        <f t="shared" si="261"/>
        <v>0</v>
      </c>
      <c r="L92" s="108">
        <f t="shared" si="262"/>
        <v>2</v>
      </c>
      <c r="M92" s="108">
        <f t="shared" ref="M92:P92" si="263">0</f>
        <v>0</v>
      </c>
      <c r="N92" s="108">
        <f t="shared" si="263"/>
        <v>0</v>
      </c>
      <c r="O92" s="108">
        <f t="shared" si="263"/>
        <v>0</v>
      </c>
      <c r="P92" s="108">
        <f t="shared" si="263"/>
        <v>0</v>
      </c>
      <c r="Q92" s="181">
        <f t="shared" si="260"/>
        <v>2</v>
      </c>
      <c r="R92" s="8"/>
      <c r="S92" s="123"/>
      <c r="T92" s="123"/>
    </row>
    <row r="93" ht="15.0" customHeight="1">
      <c r="A93" s="119"/>
      <c r="B93" s="120"/>
      <c r="C93" s="120"/>
      <c r="D93" s="120"/>
      <c r="E93" s="120"/>
      <c r="F93" s="120"/>
      <c r="G93" s="120"/>
      <c r="H93" s="120"/>
      <c r="I93" s="120"/>
      <c r="J93" s="131"/>
      <c r="K93" s="123"/>
      <c r="L93" s="123"/>
      <c r="M93" s="123"/>
      <c r="N93" s="123"/>
      <c r="O93" s="123"/>
      <c r="P93" s="123"/>
      <c r="Q93" s="213">
        <f>SUM(Q90:R92)</f>
        <v>15</v>
      </c>
      <c r="R93" s="38"/>
      <c r="S93" s="131"/>
      <c r="T93" s="120"/>
    </row>
    <row r="94" ht="15.0" customHeight="1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 t="s">
        <v>108</v>
      </c>
    </row>
    <row r="95" ht="15.0" customHeight="1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</row>
    <row r="96" ht="19.5" customHeight="1">
      <c r="A96" s="214" t="s">
        <v>109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210"/>
      <c r="T96" s="120"/>
    </row>
    <row r="97" ht="15.0" customHeight="1">
      <c r="A97" s="215" t="s">
        <v>51</v>
      </c>
      <c r="B97" s="98" t="s">
        <v>84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120"/>
      <c r="T97" s="131"/>
    </row>
    <row r="98" ht="15.0" customHeight="1">
      <c r="A98" s="216"/>
      <c r="B98" s="98" t="s">
        <v>110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120"/>
      <c r="T98" s="131"/>
    </row>
    <row r="99" ht="15.0" customHeight="1">
      <c r="A99" s="217"/>
      <c r="B99" s="98" t="s">
        <v>111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120"/>
      <c r="T99" s="131"/>
    </row>
    <row r="100" ht="15.0" customHeight="1">
      <c r="A100" s="84" t="s">
        <v>14</v>
      </c>
      <c r="B100" s="181">
        <v>3.0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/>
      <c r="R100" s="114">
        <f t="shared" ref="R100:R102" si="264">SUM(B100)</f>
        <v>3</v>
      </c>
      <c r="S100" s="120"/>
      <c r="T100" s="131"/>
    </row>
    <row r="101" ht="15.0" customHeight="1">
      <c r="A101" s="218" t="s">
        <v>13</v>
      </c>
      <c r="B101" s="219">
        <f t="shared" ref="B101:B102" si="265">0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114">
        <f t="shared" si="264"/>
        <v>0</v>
      </c>
      <c r="S101" s="120"/>
      <c r="T101" s="131"/>
    </row>
    <row r="102" ht="15.0" customHeight="1">
      <c r="A102" s="84" t="s">
        <v>112</v>
      </c>
      <c r="B102" s="219">
        <f t="shared" si="265"/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/>
      <c r="R102" s="114">
        <f t="shared" si="264"/>
        <v>0</v>
      </c>
      <c r="S102" s="120"/>
      <c r="T102" s="131"/>
    </row>
    <row r="103" ht="15.0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220">
        <f>SUM(R100:R102)</f>
        <v>3</v>
      </c>
      <c r="R103" s="38"/>
      <c r="S103" s="120"/>
      <c r="T103" s="131"/>
    </row>
    <row r="104" ht="15.0" customHeight="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31"/>
    </row>
    <row r="105" ht="15.0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</row>
    <row r="106" ht="18.75" customHeight="1">
      <c r="A106" s="221" t="s">
        <v>113</v>
      </c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3"/>
      <c r="T106" s="120"/>
    </row>
    <row r="107" ht="15.0" customHeight="1">
      <c r="A107" s="84"/>
      <c r="B107" s="9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85"/>
      <c r="S107" s="192" t="s">
        <v>85</v>
      </c>
      <c r="T107" s="120"/>
    </row>
    <row r="108" ht="15.0" customHeight="1">
      <c r="A108" s="84"/>
      <c r="B108" s="224" t="s">
        <v>114</v>
      </c>
      <c r="C108" s="7"/>
      <c r="D108" s="7"/>
      <c r="E108" s="7"/>
      <c r="F108" s="7"/>
      <c r="G108" s="7"/>
      <c r="H108" s="7"/>
      <c r="I108" s="7"/>
      <c r="J108" s="8"/>
      <c r="K108" s="224" t="s">
        <v>115</v>
      </c>
      <c r="L108" s="7"/>
      <c r="M108" s="7"/>
      <c r="N108" s="7"/>
      <c r="O108" s="7"/>
      <c r="P108" s="7"/>
      <c r="Q108" s="7"/>
      <c r="R108" s="185"/>
      <c r="S108" s="170"/>
      <c r="T108" s="120"/>
    </row>
    <row r="109" ht="15.0" customHeight="1">
      <c r="A109" s="84" t="s">
        <v>51</v>
      </c>
      <c r="B109" s="98"/>
      <c r="C109" s="7"/>
      <c r="D109" s="7"/>
      <c r="E109" s="7"/>
      <c r="F109" s="7"/>
      <c r="G109" s="7"/>
      <c r="H109" s="7"/>
      <c r="I109" s="7"/>
      <c r="J109" s="8"/>
      <c r="K109" s="98" t="s">
        <v>116</v>
      </c>
      <c r="L109" s="7"/>
      <c r="M109" s="7"/>
      <c r="N109" s="7"/>
      <c r="O109" s="7"/>
      <c r="P109" s="7"/>
      <c r="Q109" s="7"/>
      <c r="R109" s="185"/>
      <c r="S109" s="99"/>
      <c r="T109" s="120"/>
    </row>
    <row r="110" ht="15.0" customHeight="1">
      <c r="A110" s="84" t="s">
        <v>117</v>
      </c>
      <c r="B110" s="219">
        <f t="shared" ref="B110:B111" si="266">0</f>
        <v>0</v>
      </c>
      <c r="C110" s="7"/>
      <c r="D110" s="7"/>
      <c r="E110" s="7"/>
      <c r="F110" s="7"/>
      <c r="G110" s="7"/>
      <c r="H110" s="7"/>
      <c r="I110" s="7"/>
      <c r="J110" s="8"/>
      <c r="K110" s="219">
        <f t="shared" ref="K110:K111" si="267">0</f>
        <v>0</v>
      </c>
      <c r="L110" s="7"/>
      <c r="M110" s="7"/>
      <c r="N110" s="7"/>
      <c r="O110" s="7"/>
      <c r="P110" s="7"/>
      <c r="Q110" s="7"/>
      <c r="R110" s="8"/>
      <c r="S110" s="114">
        <f t="shared" ref="S110:S111" si="268">SUM(B110:R110)</f>
        <v>0</v>
      </c>
      <c r="T110" s="120"/>
    </row>
    <row r="111" ht="15.0" customHeight="1">
      <c r="A111" s="84" t="s">
        <v>118</v>
      </c>
      <c r="B111" s="219">
        <f t="shared" si="266"/>
        <v>0</v>
      </c>
      <c r="C111" s="7"/>
      <c r="D111" s="7"/>
      <c r="E111" s="7"/>
      <c r="F111" s="7"/>
      <c r="G111" s="7"/>
      <c r="H111" s="7"/>
      <c r="I111" s="7"/>
      <c r="J111" s="8"/>
      <c r="K111" s="219">
        <f t="shared" si="267"/>
        <v>0</v>
      </c>
      <c r="L111" s="7"/>
      <c r="M111" s="7"/>
      <c r="N111" s="7"/>
      <c r="O111" s="7"/>
      <c r="P111" s="7"/>
      <c r="Q111" s="7"/>
      <c r="R111" s="8"/>
      <c r="S111" s="114">
        <f t="shared" si="268"/>
        <v>0</v>
      </c>
      <c r="T111" s="120"/>
    </row>
    <row r="112" ht="15.0" customHeight="1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1">
        <f>SUM(S110:S111)</f>
        <v>0</v>
      </c>
      <c r="T112" s="120"/>
    </row>
    <row r="113" ht="15.0" customHeight="1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</row>
    <row r="114" ht="15.0" customHeight="1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20"/>
    </row>
    <row r="115" ht="15.0" customHeight="1">
      <c r="A115" s="225" t="s">
        <v>119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188"/>
    </row>
    <row r="116" ht="15.0" customHeight="1">
      <c r="A116" s="171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62"/>
      <c r="T116" s="188"/>
    </row>
    <row r="117" ht="15.0" customHeight="1">
      <c r="A117" s="104"/>
      <c r="B117" s="190" t="s">
        <v>1</v>
      </c>
      <c r="C117" s="7"/>
      <c r="D117" s="7"/>
      <c r="E117" s="7"/>
      <c r="F117" s="7"/>
      <c r="G117" s="7"/>
      <c r="H117" s="7"/>
      <c r="I117" s="8"/>
      <c r="J117" s="191" t="s">
        <v>97</v>
      </c>
      <c r="K117" s="7"/>
      <c r="L117" s="7"/>
      <c r="M117" s="7"/>
      <c r="N117" s="7"/>
      <c r="O117" s="7"/>
      <c r="P117" s="7"/>
      <c r="Q117" s="7"/>
      <c r="R117" s="7"/>
      <c r="S117" s="8"/>
      <c r="T117" s="192"/>
    </row>
    <row r="118" ht="15.0" customHeight="1">
      <c r="A118" s="104" t="s">
        <v>98</v>
      </c>
      <c r="B118" s="114">
        <v>5.0</v>
      </c>
      <c r="C118" s="114">
        <v>7.0</v>
      </c>
      <c r="D118" s="114">
        <v>9.0</v>
      </c>
      <c r="E118" s="114">
        <v>11.0</v>
      </c>
      <c r="F118" s="114">
        <v>13.0</v>
      </c>
      <c r="G118" s="114">
        <v>15.0</v>
      </c>
      <c r="H118" s="114">
        <v>17.0</v>
      </c>
      <c r="I118" s="193">
        <v>19.0</v>
      </c>
      <c r="J118" s="194">
        <v>28.0</v>
      </c>
      <c r="K118" s="114">
        <v>30.0</v>
      </c>
      <c r="L118" s="114">
        <v>32.0</v>
      </c>
      <c r="M118" s="114">
        <v>34.0</v>
      </c>
      <c r="N118" s="114">
        <v>36.0</v>
      </c>
      <c r="O118" s="114">
        <v>38.0</v>
      </c>
      <c r="P118" s="114">
        <v>40.0</v>
      </c>
      <c r="Q118" s="114">
        <v>42.0</v>
      </c>
      <c r="R118" s="114">
        <v>44.0</v>
      </c>
      <c r="S118" s="114">
        <v>46.0</v>
      </c>
      <c r="T118" s="99"/>
    </row>
    <row r="119" ht="15.0" customHeight="1">
      <c r="A119" s="226" t="s">
        <v>120</v>
      </c>
      <c r="B119" s="197">
        <f t="shared" ref="B119:C119" si="269">0+3</f>
        <v>3</v>
      </c>
      <c r="C119" s="197">
        <f t="shared" si="269"/>
        <v>3</v>
      </c>
      <c r="D119" s="197">
        <f t="shared" ref="D119:G119" si="270">0+1</f>
        <v>1</v>
      </c>
      <c r="E119" s="197">
        <f t="shared" si="270"/>
        <v>1</v>
      </c>
      <c r="F119" s="197">
        <f t="shared" si="270"/>
        <v>1</v>
      </c>
      <c r="G119" s="197">
        <f t="shared" si="270"/>
        <v>1</v>
      </c>
      <c r="H119" s="197">
        <f>0</f>
        <v>0</v>
      </c>
      <c r="I119" s="197">
        <f t="shared" ref="I119:J119" si="271">0+1</f>
        <v>1</v>
      </c>
      <c r="J119" s="197">
        <f t="shared" si="271"/>
        <v>1</v>
      </c>
      <c r="K119" s="197">
        <f t="shared" ref="K119:L119" si="272">0+3</f>
        <v>3</v>
      </c>
      <c r="L119" s="197">
        <f t="shared" si="272"/>
        <v>3</v>
      </c>
      <c r="M119" s="197">
        <f>0+2</f>
        <v>2</v>
      </c>
      <c r="N119" s="197">
        <f t="shared" ref="N119:R119" si="273">0+1</f>
        <v>1</v>
      </c>
      <c r="O119" s="197">
        <f t="shared" si="273"/>
        <v>1</v>
      </c>
      <c r="P119" s="197">
        <f t="shared" si="273"/>
        <v>1</v>
      </c>
      <c r="Q119" s="197">
        <f t="shared" si="273"/>
        <v>1</v>
      </c>
      <c r="R119" s="197">
        <f t="shared" si="273"/>
        <v>1</v>
      </c>
      <c r="S119" s="197">
        <f>0</f>
        <v>0</v>
      </c>
      <c r="T119" s="198">
        <f>SUM(B119:S120)</f>
        <v>25</v>
      </c>
    </row>
    <row r="120" ht="15.0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ht="15.0" customHeight="1">
      <c r="A121" s="11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31"/>
    </row>
    <row r="122" ht="15.0" customHeight="1">
      <c r="A122" s="227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ht="15.0" customHeight="1">
      <c r="A123" s="22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ht="15.0" customHeight="1">
      <c r="A124" s="227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ht="15.0" customHeight="1">
      <c r="A125" s="227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ht="15.0" customHeight="1">
      <c r="A126" s="228" t="s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229"/>
      <c r="M126" s="229"/>
      <c r="N126" s="229"/>
      <c r="O126" s="131"/>
      <c r="P126" s="131"/>
      <c r="Q126" s="131"/>
      <c r="R126" s="131"/>
      <c r="S126" s="131"/>
      <c r="T126" s="131"/>
    </row>
    <row r="127" ht="15.0" customHeight="1">
      <c r="A127" s="230" t="s">
        <v>87</v>
      </c>
      <c r="B127" s="231" t="s">
        <v>4</v>
      </c>
      <c r="C127" s="231" t="s">
        <v>53</v>
      </c>
      <c r="D127" s="231" t="s">
        <v>54</v>
      </c>
      <c r="E127" s="231" t="s">
        <v>55</v>
      </c>
      <c r="F127" s="231" t="s">
        <v>56</v>
      </c>
      <c r="G127" s="231" t="s">
        <v>9</v>
      </c>
      <c r="H127" s="231" t="s">
        <v>10</v>
      </c>
      <c r="I127" s="231" t="s">
        <v>11</v>
      </c>
      <c r="J127" s="231" t="s">
        <v>12</v>
      </c>
      <c r="K127" s="232" t="s">
        <v>52</v>
      </c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ht="15.0" customHeight="1">
      <c r="A128" s="230" t="s">
        <v>68</v>
      </c>
      <c r="B128" s="233">
        <f t="shared" ref="B128:D128" si="274">0</f>
        <v>0</v>
      </c>
      <c r="C128" s="233">
        <f t="shared" si="274"/>
        <v>0</v>
      </c>
      <c r="D128" s="233">
        <f t="shared" si="274"/>
        <v>0</v>
      </c>
      <c r="E128" s="234">
        <v>34.0</v>
      </c>
      <c r="F128" s="233">
        <f t="shared" ref="F128:J128" si="275">0</f>
        <v>0</v>
      </c>
      <c r="G128" s="233">
        <f t="shared" si="275"/>
        <v>0</v>
      </c>
      <c r="H128" s="233">
        <f t="shared" si="275"/>
        <v>0</v>
      </c>
      <c r="I128" s="233">
        <f t="shared" si="275"/>
        <v>0</v>
      </c>
      <c r="J128" s="233">
        <f t="shared" si="275"/>
        <v>0</v>
      </c>
      <c r="K128" s="235">
        <f>SUM(B128:J128)</f>
        <v>34</v>
      </c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ht="15.0" customHeight="1">
      <c r="T129" s="120"/>
    </row>
    <row r="130" ht="15.0" customHeight="1">
      <c r="A130" s="236" t="s">
        <v>122</v>
      </c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7"/>
    </row>
    <row r="131" ht="15.0" customHeight="1">
      <c r="A131" s="208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</row>
    <row r="132" ht="15.0" customHeight="1">
      <c r="A132" s="237"/>
      <c r="B132" s="238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9"/>
      <c r="U132" s="177"/>
    </row>
    <row r="133" ht="15.0" customHeight="1">
      <c r="A133" s="24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2"/>
    </row>
    <row r="134" ht="21.75" customHeight="1">
      <c r="A134" s="243" t="s">
        <v>123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8"/>
    </row>
    <row r="135" ht="15.0" customHeight="1">
      <c r="A135" s="244" t="s">
        <v>43</v>
      </c>
      <c r="B135" s="7"/>
      <c r="C135" s="7"/>
      <c r="D135" s="7"/>
      <c r="E135" s="7"/>
      <c r="F135" s="7"/>
      <c r="G135" s="7"/>
      <c r="H135" s="7"/>
      <c r="I135" s="7"/>
      <c r="J135" s="185"/>
      <c r="K135" s="245"/>
      <c r="L135" s="245"/>
      <c r="M135" s="245"/>
      <c r="N135" s="246"/>
      <c r="O135" s="247"/>
      <c r="P135" s="247"/>
      <c r="Q135" s="247"/>
      <c r="R135" s="247"/>
      <c r="S135" s="247"/>
      <c r="T135" s="248"/>
    </row>
    <row r="136" ht="15.0" customHeight="1">
      <c r="A136" s="249" t="s">
        <v>51</v>
      </c>
      <c r="B136" s="250"/>
      <c r="C136" s="250"/>
      <c r="D136" s="250"/>
      <c r="E136" s="250"/>
      <c r="F136" s="250"/>
      <c r="G136" s="250"/>
      <c r="H136" s="250"/>
      <c r="I136" s="250"/>
      <c r="J136" s="251" t="s">
        <v>52</v>
      </c>
    </row>
    <row r="137" ht="15.0" customHeight="1">
      <c r="A137" s="99"/>
      <c r="B137" s="252" t="s">
        <v>4</v>
      </c>
      <c r="C137" s="252" t="s">
        <v>53</v>
      </c>
      <c r="D137" s="252" t="s">
        <v>54</v>
      </c>
      <c r="E137" s="252" t="s">
        <v>55</v>
      </c>
      <c r="F137" s="252" t="s">
        <v>56</v>
      </c>
      <c r="G137" s="252" t="s">
        <v>9</v>
      </c>
      <c r="H137" s="252" t="s">
        <v>10</v>
      </c>
      <c r="I137" s="252" t="s">
        <v>11</v>
      </c>
      <c r="J137" s="99"/>
    </row>
    <row r="138" ht="15.0" customHeight="1">
      <c r="A138" s="253" t="s">
        <v>124</v>
      </c>
      <c r="B138" s="250">
        <f>0</f>
        <v>0</v>
      </c>
      <c r="C138" s="254">
        <f t="shared" ref="C138:H138" si="276">0+1</f>
        <v>1</v>
      </c>
      <c r="D138" s="254">
        <f t="shared" si="276"/>
        <v>1</v>
      </c>
      <c r="E138" s="254">
        <f t="shared" si="276"/>
        <v>1</v>
      </c>
      <c r="F138" s="254">
        <f t="shared" si="276"/>
        <v>1</v>
      </c>
      <c r="G138" s="254">
        <f t="shared" si="276"/>
        <v>1</v>
      </c>
      <c r="H138" s="254">
        <f t="shared" si="276"/>
        <v>1</v>
      </c>
      <c r="I138" s="250">
        <f>0</f>
        <v>0</v>
      </c>
      <c r="J138" s="255">
        <f>SUM(B138:I138)</f>
        <v>6</v>
      </c>
    </row>
    <row r="139" ht="15.0" customHeight="1">
      <c r="A139" s="237"/>
      <c r="B139" s="238"/>
      <c r="C139" s="238"/>
      <c r="D139" s="238"/>
      <c r="E139" s="238"/>
      <c r="F139" s="238"/>
      <c r="G139" s="238"/>
      <c r="H139" s="238"/>
      <c r="I139" s="238"/>
      <c r="J139" s="256">
        <f>SUM(J138)</f>
        <v>6</v>
      </c>
      <c r="K139" s="238"/>
      <c r="L139" s="238"/>
      <c r="M139" s="238"/>
      <c r="N139" s="238"/>
      <c r="O139" s="238"/>
      <c r="P139" s="238"/>
      <c r="Q139" s="238"/>
      <c r="R139" s="238"/>
      <c r="S139" s="238"/>
    </row>
    <row r="140" ht="15.75" customHeight="1">
      <c r="A140" s="240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2"/>
    </row>
    <row r="141" ht="23.25" customHeight="1">
      <c r="A141" s="257" t="s">
        <v>125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8"/>
    </row>
    <row r="142" ht="15.0" customHeight="1">
      <c r="A142" s="258"/>
      <c r="B142" s="259" t="s">
        <v>1</v>
      </c>
      <c r="C142" s="7"/>
      <c r="D142" s="7"/>
      <c r="E142" s="7"/>
      <c r="F142" s="7"/>
      <c r="G142" s="7"/>
      <c r="H142" s="7"/>
      <c r="I142" s="7"/>
      <c r="J142" s="8"/>
      <c r="K142" s="260" t="s">
        <v>2</v>
      </c>
      <c r="L142" s="222"/>
      <c r="M142" s="222"/>
      <c r="N142" s="222"/>
      <c r="O142" s="222"/>
      <c r="P142" s="222"/>
      <c r="Q142" s="222"/>
      <c r="R142" s="222"/>
      <c r="S142" s="222"/>
      <c r="T142" s="261"/>
    </row>
    <row r="143" ht="15.0" customHeight="1">
      <c r="A143" s="249" t="s">
        <v>51</v>
      </c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62"/>
      <c r="T143" s="251" t="s">
        <v>52</v>
      </c>
    </row>
    <row r="144" ht="15.0" customHeight="1">
      <c r="A144" s="99"/>
      <c r="B144" s="252" t="s">
        <v>4</v>
      </c>
      <c r="C144" s="252" t="s">
        <v>53</v>
      </c>
      <c r="D144" s="252" t="s">
        <v>54</v>
      </c>
      <c r="E144" s="252" t="s">
        <v>55</v>
      </c>
      <c r="F144" s="252" t="s">
        <v>56</v>
      </c>
      <c r="G144" s="252" t="s">
        <v>9</v>
      </c>
      <c r="H144" s="252" t="s">
        <v>10</v>
      </c>
      <c r="I144" s="252" t="s">
        <v>11</v>
      </c>
      <c r="J144" s="252" t="s">
        <v>12</v>
      </c>
      <c r="K144" s="252" t="s">
        <v>4</v>
      </c>
      <c r="L144" s="252" t="s">
        <v>53</v>
      </c>
      <c r="M144" s="252" t="s">
        <v>54</v>
      </c>
      <c r="N144" s="252" t="s">
        <v>55</v>
      </c>
      <c r="O144" s="252" t="s">
        <v>56</v>
      </c>
      <c r="P144" s="252" t="s">
        <v>9</v>
      </c>
      <c r="Q144" s="252" t="s">
        <v>10</v>
      </c>
      <c r="R144" s="252" t="s">
        <v>11</v>
      </c>
      <c r="S144" s="263" t="s">
        <v>12</v>
      </c>
      <c r="T144" s="99"/>
    </row>
    <row r="145" ht="15.0" customHeight="1">
      <c r="A145" s="253" t="s">
        <v>126</v>
      </c>
      <c r="B145" s="108">
        <f t="shared" ref="B145:C145" si="277">0+1</f>
        <v>1</v>
      </c>
      <c r="C145" s="108">
        <f t="shared" si="277"/>
        <v>1</v>
      </c>
      <c r="D145" s="108">
        <f>0+2+1</f>
        <v>3</v>
      </c>
      <c r="E145" s="108">
        <f t="shared" ref="E145:F145" si="278">0+1+1</f>
        <v>2</v>
      </c>
      <c r="F145" s="108">
        <f t="shared" si="278"/>
        <v>2</v>
      </c>
      <c r="G145" s="108">
        <f>0+1</f>
        <v>1</v>
      </c>
      <c r="H145" s="108">
        <f>0+1+1</f>
        <v>2</v>
      </c>
      <c r="I145" s="108">
        <f t="shared" ref="I145:K145" si="279">0+1</f>
        <v>1</v>
      </c>
      <c r="J145" s="108">
        <f t="shared" si="279"/>
        <v>1</v>
      </c>
      <c r="K145" s="108">
        <f t="shared" si="279"/>
        <v>1</v>
      </c>
      <c r="L145" s="108">
        <f>0+1+1+1</f>
        <v>3</v>
      </c>
      <c r="M145" s="108">
        <f t="shared" ref="M145:O145" si="280">0+1</f>
        <v>1</v>
      </c>
      <c r="N145" s="108">
        <f t="shared" si="280"/>
        <v>1</v>
      </c>
      <c r="O145" s="108">
        <f t="shared" si="280"/>
        <v>1</v>
      </c>
      <c r="P145" s="108">
        <f t="shared" ref="P145:Q145" si="281">0+1+1</f>
        <v>2</v>
      </c>
      <c r="Q145" s="108">
        <f t="shared" si="281"/>
        <v>2</v>
      </c>
      <c r="R145" s="108">
        <f t="shared" ref="R145:S145" si="282">0+1</f>
        <v>1</v>
      </c>
      <c r="S145" s="108">
        <f t="shared" si="282"/>
        <v>1</v>
      </c>
      <c r="T145" s="108">
        <f>SUM(B145:S145)</f>
        <v>27</v>
      </c>
    </row>
    <row r="146" ht="15.0" customHeight="1">
      <c r="A146" s="264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65">
        <f>SUM(T145)</f>
        <v>27</v>
      </c>
    </row>
    <row r="147" ht="15.0" customHeight="1"/>
    <row r="148" ht="15.0" customHeight="1"/>
    <row r="149" ht="15.0" customHeight="1"/>
    <row r="150" ht="15.0" customHeight="1">
      <c r="A150" s="144" t="s">
        <v>127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</row>
    <row r="151" ht="15.0" customHeight="1">
      <c r="A151" s="266"/>
      <c r="B151" s="267"/>
      <c r="C151" s="146" t="s">
        <v>84</v>
      </c>
      <c r="D151" s="7"/>
      <c r="E151" s="7"/>
      <c r="F151" s="7"/>
      <c r="G151" s="7"/>
      <c r="H151" s="7"/>
      <c r="I151" s="7"/>
      <c r="J151" s="7"/>
      <c r="K151" s="7"/>
      <c r="L151" s="8"/>
    </row>
    <row r="152" ht="15.0" customHeight="1">
      <c r="A152" s="266"/>
      <c r="B152" s="268"/>
      <c r="C152" s="146" t="s">
        <v>43</v>
      </c>
      <c r="D152" s="7"/>
      <c r="E152" s="7"/>
      <c r="F152" s="7"/>
      <c r="G152" s="7"/>
      <c r="H152" s="7"/>
      <c r="I152" s="7"/>
      <c r="J152" s="7"/>
      <c r="K152" s="7"/>
      <c r="L152" s="8"/>
    </row>
    <row r="153" ht="15.0" customHeight="1">
      <c r="A153" s="146" t="s">
        <v>128</v>
      </c>
      <c r="B153" s="8"/>
      <c r="C153" s="146" t="s">
        <v>116</v>
      </c>
      <c r="D153" s="7"/>
      <c r="E153" s="7"/>
      <c r="F153" s="7"/>
      <c r="G153" s="7"/>
      <c r="H153" s="7"/>
      <c r="I153" s="7"/>
      <c r="J153" s="7"/>
      <c r="K153" s="8"/>
      <c r="L153" s="269" t="s">
        <v>85</v>
      </c>
    </row>
    <row r="154" ht="15.0" customHeight="1">
      <c r="A154" s="270" t="s">
        <v>129</v>
      </c>
      <c r="B154" s="8"/>
      <c r="C154" s="271">
        <f>4</f>
        <v>4</v>
      </c>
      <c r="D154" s="7"/>
      <c r="E154" s="7"/>
      <c r="F154" s="7"/>
      <c r="G154" s="7"/>
      <c r="H154" s="7"/>
      <c r="I154" s="7"/>
      <c r="J154" s="7"/>
      <c r="K154" s="8"/>
      <c r="L154" s="114">
        <f t="shared" ref="L154:L155" si="283">SUM(C154)</f>
        <v>4</v>
      </c>
      <c r="U154" s="177"/>
    </row>
    <row r="155" ht="15.0" customHeight="1">
      <c r="A155" s="270" t="s">
        <v>130</v>
      </c>
      <c r="B155" s="8"/>
      <c r="C155" s="271">
        <f>2</f>
        <v>2</v>
      </c>
      <c r="D155" s="7"/>
      <c r="E155" s="7"/>
      <c r="F155" s="7"/>
      <c r="G155" s="7"/>
      <c r="H155" s="7"/>
      <c r="I155" s="7"/>
      <c r="J155" s="7"/>
      <c r="K155" s="8"/>
      <c r="L155" s="114">
        <f t="shared" si="283"/>
        <v>2</v>
      </c>
      <c r="U155" s="177"/>
      <c r="V155" s="177"/>
    </row>
    <row r="156" ht="15.0" customHeight="1">
      <c r="A156" s="272"/>
      <c r="B156" s="160"/>
      <c r="C156" s="273"/>
      <c r="D156" s="135"/>
      <c r="E156" s="273"/>
      <c r="F156" s="273"/>
      <c r="G156" s="273"/>
      <c r="H156" s="273"/>
      <c r="I156" s="273"/>
      <c r="J156" s="273"/>
      <c r="K156" s="135"/>
      <c r="L156" s="274">
        <f>SUM(L154:L155)</f>
        <v>6</v>
      </c>
      <c r="U156" s="177"/>
    </row>
    <row r="157" ht="15.0" customHeight="1">
      <c r="U157" s="177"/>
    </row>
    <row r="158" ht="15.0" customHeight="1">
      <c r="U158" s="177"/>
    </row>
    <row r="159" ht="15.0" customHeight="1">
      <c r="U159" s="177"/>
    </row>
    <row r="160" ht="15.0" customHeight="1">
      <c r="A160" s="144" t="s">
        <v>131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U160" s="177"/>
    </row>
    <row r="161" ht="15.0" customHeight="1">
      <c r="A161" s="266"/>
      <c r="B161" s="267"/>
      <c r="C161" s="146" t="s">
        <v>84</v>
      </c>
      <c r="D161" s="7"/>
      <c r="E161" s="7"/>
      <c r="F161" s="7"/>
      <c r="G161" s="7"/>
      <c r="H161" s="7"/>
      <c r="I161" s="7"/>
      <c r="J161" s="7"/>
      <c r="K161" s="7"/>
      <c r="L161" s="8"/>
    </row>
    <row r="162" ht="15.0" customHeight="1">
      <c r="A162" s="266"/>
      <c r="B162" s="268"/>
      <c r="C162" s="146" t="s">
        <v>43</v>
      </c>
      <c r="D162" s="7"/>
      <c r="E162" s="7"/>
      <c r="F162" s="7"/>
      <c r="G162" s="7"/>
      <c r="H162" s="7"/>
      <c r="I162" s="7"/>
      <c r="J162" s="7"/>
      <c r="K162" s="7"/>
      <c r="L162" s="8"/>
    </row>
    <row r="163" ht="15.0" customHeight="1">
      <c r="A163" s="146" t="s">
        <v>128</v>
      </c>
      <c r="B163" s="8"/>
      <c r="C163" s="146" t="s">
        <v>116</v>
      </c>
      <c r="D163" s="7"/>
      <c r="E163" s="7"/>
      <c r="F163" s="7"/>
      <c r="G163" s="7"/>
      <c r="H163" s="7"/>
      <c r="I163" s="7"/>
      <c r="J163" s="7"/>
      <c r="K163" s="8"/>
      <c r="L163" s="269" t="s">
        <v>85</v>
      </c>
    </row>
    <row r="164" ht="15.0" customHeight="1">
      <c r="A164" s="275" t="s">
        <v>37</v>
      </c>
      <c r="B164" s="8"/>
      <c r="C164" s="271">
        <f>1+1</f>
        <v>2</v>
      </c>
      <c r="D164" s="7"/>
      <c r="E164" s="7"/>
      <c r="F164" s="7"/>
      <c r="G164" s="7"/>
      <c r="H164" s="7"/>
      <c r="I164" s="7"/>
      <c r="J164" s="7"/>
      <c r="K164" s="8"/>
      <c r="L164" s="114">
        <f t="shared" ref="L164:L173" si="284">SUM(C164)</f>
        <v>2</v>
      </c>
    </row>
    <row r="165" ht="15.0" customHeight="1">
      <c r="A165" s="270" t="s">
        <v>112</v>
      </c>
      <c r="B165" s="8"/>
      <c r="C165" s="271">
        <f>3</f>
        <v>3</v>
      </c>
      <c r="D165" s="7"/>
      <c r="E165" s="7"/>
      <c r="F165" s="7"/>
      <c r="G165" s="7"/>
      <c r="H165" s="7"/>
      <c r="I165" s="7"/>
      <c r="J165" s="7"/>
      <c r="K165" s="8"/>
      <c r="L165" s="114">
        <f t="shared" si="284"/>
        <v>3</v>
      </c>
    </row>
    <row r="166" ht="15.0" customHeight="1">
      <c r="A166" s="270" t="s">
        <v>132</v>
      </c>
      <c r="B166" s="8"/>
      <c r="C166" s="271">
        <f>1-1+1</f>
        <v>1</v>
      </c>
      <c r="D166" s="7"/>
      <c r="E166" s="7"/>
      <c r="F166" s="7"/>
      <c r="G166" s="7"/>
      <c r="H166" s="7"/>
      <c r="I166" s="7"/>
      <c r="J166" s="7"/>
      <c r="K166" s="8"/>
      <c r="L166" s="114">
        <f t="shared" si="284"/>
        <v>1</v>
      </c>
    </row>
    <row r="167" ht="15.0" customHeight="1">
      <c r="A167" s="270" t="s">
        <v>19</v>
      </c>
      <c r="B167" s="8"/>
      <c r="C167" s="271">
        <f>1</f>
        <v>1</v>
      </c>
      <c r="D167" s="7"/>
      <c r="E167" s="7"/>
      <c r="F167" s="7"/>
      <c r="G167" s="7"/>
      <c r="H167" s="7"/>
      <c r="I167" s="7"/>
      <c r="J167" s="7"/>
      <c r="K167" s="8"/>
      <c r="L167" s="114">
        <f t="shared" si="284"/>
        <v>1</v>
      </c>
    </row>
    <row r="168" ht="15.0" customHeight="1">
      <c r="A168" s="270" t="s">
        <v>133</v>
      </c>
      <c r="B168" s="8"/>
      <c r="C168" s="271">
        <f t="shared" ref="C168:C170" si="285">0</f>
        <v>0</v>
      </c>
      <c r="D168" s="7"/>
      <c r="E168" s="7"/>
      <c r="F168" s="7"/>
      <c r="G168" s="7"/>
      <c r="H168" s="7"/>
      <c r="I168" s="7"/>
      <c r="J168" s="7"/>
      <c r="K168" s="8"/>
      <c r="L168" s="114">
        <f t="shared" si="284"/>
        <v>0</v>
      </c>
    </row>
    <row r="169" ht="15.0" customHeight="1">
      <c r="A169" s="270" t="s">
        <v>15</v>
      </c>
      <c r="B169" s="8"/>
      <c r="C169" s="271">
        <f t="shared" si="285"/>
        <v>0</v>
      </c>
      <c r="D169" s="7"/>
      <c r="E169" s="7"/>
      <c r="F169" s="7"/>
      <c r="G169" s="7"/>
      <c r="H169" s="7"/>
      <c r="I169" s="7"/>
      <c r="J169" s="7"/>
      <c r="K169" s="8"/>
      <c r="L169" s="114">
        <f t="shared" si="284"/>
        <v>0</v>
      </c>
    </row>
    <row r="170" ht="15.0" customHeight="1">
      <c r="A170" s="270" t="s">
        <v>29</v>
      </c>
      <c r="B170" s="8"/>
      <c r="C170" s="271">
        <f t="shared" si="285"/>
        <v>0</v>
      </c>
      <c r="D170" s="7"/>
      <c r="E170" s="7"/>
      <c r="F170" s="7"/>
      <c r="G170" s="7"/>
      <c r="H170" s="7"/>
      <c r="I170" s="7"/>
      <c r="J170" s="7"/>
      <c r="K170" s="8"/>
      <c r="L170" s="114">
        <f t="shared" si="284"/>
        <v>0</v>
      </c>
    </row>
    <row r="171" ht="15.0" customHeight="1">
      <c r="A171" s="270" t="s">
        <v>16</v>
      </c>
      <c r="B171" s="8"/>
      <c r="C171" s="271">
        <f>1</f>
        <v>1</v>
      </c>
      <c r="D171" s="7"/>
      <c r="E171" s="7"/>
      <c r="F171" s="7"/>
      <c r="G171" s="7"/>
      <c r="H171" s="7"/>
      <c r="I171" s="7"/>
      <c r="J171" s="7"/>
      <c r="K171" s="8"/>
      <c r="L171" s="114">
        <f t="shared" si="284"/>
        <v>1</v>
      </c>
      <c r="M171" s="120"/>
      <c r="N171" s="120"/>
      <c r="O171" s="120"/>
      <c r="P171" s="120"/>
      <c r="Q171" s="120"/>
      <c r="R171" s="120"/>
      <c r="S171" s="120"/>
      <c r="T171" s="123"/>
    </row>
    <row r="172" ht="15.0" customHeight="1">
      <c r="A172" s="270" t="s">
        <v>14</v>
      </c>
      <c r="B172" s="8"/>
      <c r="C172" s="271">
        <f t="shared" ref="C172:C173" si="286">2</f>
        <v>2</v>
      </c>
      <c r="D172" s="7"/>
      <c r="E172" s="7"/>
      <c r="F172" s="7"/>
      <c r="G172" s="7"/>
      <c r="H172" s="7"/>
      <c r="I172" s="7"/>
      <c r="J172" s="7"/>
      <c r="K172" s="8"/>
      <c r="L172" s="114">
        <f t="shared" si="284"/>
        <v>2</v>
      </c>
      <c r="M172" s="120"/>
      <c r="N172" s="120"/>
      <c r="O172" s="120"/>
      <c r="P172" s="120"/>
      <c r="Q172" s="120"/>
      <c r="R172" s="120"/>
      <c r="S172" s="120"/>
      <c r="T172" s="123"/>
    </row>
    <row r="173" ht="15.0" customHeight="1">
      <c r="A173" s="270" t="s">
        <v>13</v>
      </c>
      <c r="B173" s="8"/>
      <c r="C173" s="271">
        <f t="shared" si="286"/>
        <v>2</v>
      </c>
      <c r="D173" s="7"/>
      <c r="E173" s="7"/>
      <c r="F173" s="7"/>
      <c r="G173" s="7"/>
      <c r="H173" s="7"/>
      <c r="I173" s="7"/>
      <c r="J173" s="7"/>
      <c r="K173" s="8"/>
      <c r="L173" s="114">
        <f t="shared" si="284"/>
        <v>2</v>
      </c>
    </row>
    <row r="174" ht="15.0" customHeight="1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21">
        <f>SUM(L164:L173)</f>
        <v>12</v>
      </c>
    </row>
    <row r="175" ht="15.0" customHeight="1"/>
    <row r="176" ht="21.0" customHeight="1">
      <c r="A176" s="276" t="s">
        <v>134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U176" s="177"/>
    </row>
    <row r="177" ht="21.75" customHeight="1">
      <c r="A177" s="174" t="s">
        <v>84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  <c r="U177" s="177"/>
    </row>
    <row r="178" ht="19.5" customHeight="1">
      <c r="A178" s="277" t="s">
        <v>43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8"/>
      <c r="R178" s="278" t="s">
        <v>85</v>
      </c>
    </row>
    <row r="179" ht="15.0" customHeight="1">
      <c r="A179" s="279" t="s">
        <v>87</v>
      </c>
      <c r="B179" s="3"/>
      <c r="C179" s="3"/>
      <c r="D179" s="3"/>
      <c r="E179" s="3"/>
      <c r="F179" s="3"/>
      <c r="G179" s="3"/>
      <c r="H179" s="4"/>
      <c r="I179" s="250">
        <v>28.0</v>
      </c>
      <c r="J179" s="250">
        <v>30.0</v>
      </c>
      <c r="K179" s="250">
        <v>32.0</v>
      </c>
      <c r="L179" s="250">
        <v>34.0</v>
      </c>
      <c r="M179" s="250">
        <v>36.0</v>
      </c>
      <c r="N179" s="250">
        <v>38.0</v>
      </c>
      <c r="O179" s="250">
        <v>40.0</v>
      </c>
      <c r="P179" s="250">
        <v>42.0</v>
      </c>
      <c r="Q179" s="250">
        <v>44.0</v>
      </c>
      <c r="R179" s="278"/>
    </row>
    <row r="180" ht="15.0" customHeight="1">
      <c r="A180" s="171"/>
      <c r="B180" s="128"/>
      <c r="C180" s="128"/>
      <c r="D180" s="128"/>
      <c r="E180" s="128"/>
      <c r="F180" s="128"/>
      <c r="G180" s="128"/>
      <c r="H180" s="162"/>
      <c r="I180" s="250" t="s">
        <v>4</v>
      </c>
      <c r="J180" s="250" t="s">
        <v>53</v>
      </c>
      <c r="K180" s="250" t="s">
        <v>54</v>
      </c>
      <c r="L180" s="250" t="s">
        <v>55</v>
      </c>
      <c r="M180" s="250" t="s">
        <v>56</v>
      </c>
      <c r="N180" s="250" t="s">
        <v>88</v>
      </c>
      <c r="O180" s="250" t="s">
        <v>89</v>
      </c>
      <c r="P180" s="250" t="s">
        <v>90</v>
      </c>
      <c r="Q180" s="250" t="s">
        <v>91</v>
      </c>
      <c r="R180" s="278"/>
    </row>
    <row r="181" ht="15.0" customHeight="1">
      <c r="A181" s="174" t="s">
        <v>133</v>
      </c>
      <c r="B181" s="7"/>
      <c r="C181" s="7"/>
      <c r="D181" s="7"/>
      <c r="E181" s="7"/>
      <c r="F181" s="7"/>
      <c r="G181" s="7"/>
      <c r="H181" s="8"/>
      <c r="I181" s="108">
        <f t="shared" ref="I181:K181" si="287">0+1</f>
        <v>1</v>
      </c>
      <c r="J181" s="108">
        <f t="shared" si="287"/>
        <v>1</v>
      </c>
      <c r="K181" s="108">
        <f t="shared" si="287"/>
        <v>1</v>
      </c>
      <c r="L181" s="108">
        <f t="shared" ref="L181:Q181" si="288">0</f>
        <v>0</v>
      </c>
      <c r="M181" s="108">
        <f t="shared" si="288"/>
        <v>0</v>
      </c>
      <c r="N181" s="108">
        <f t="shared" si="288"/>
        <v>0</v>
      </c>
      <c r="O181" s="108">
        <f t="shared" si="288"/>
        <v>0</v>
      </c>
      <c r="P181" s="108">
        <f t="shared" si="288"/>
        <v>0</v>
      </c>
      <c r="Q181" s="108">
        <f t="shared" si="288"/>
        <v>0</v>
      </c>
      <c r="R181" s="108">
        <f t="shared" ref="R181:R183" si="291">SUM(I181:Q181)</f>
        <v>3</v>
      </c>
    </row>
    <row r="182" ht="15.0" customHeight="1">
      <c r="A182" s="174" t="s">
        <v>14</v>
      </c>
      <c r="B182" s="7"/>
      <c r="C182" s="7"/>
      <c r="D182" s="7"/>
      <c r="E182" s="7"/>
      <c r="F182" s="7"/>
      <c r="G182" s="7"/>
      <c r="H182" s="8"/>
      <c r="I182" s="108">
        <f t="shared" ref="I182:I183" si="292">0</f>
        <v>0</v>
      </c>
      <c r="J182" s="108">
        <f>0+1</f>
        <v>1</v>
      </c>
      <c r="K182" s="108">
        <f>0</f>
        <v>0</v>
      </c>
      <c r="L182" s="108">
        <f>0+2</f>
        <v>2</v>
      </c>
      <c r="M182" s="108">
        <f t="shared" ref="M182:O182" si="289">0+1</f>
        <v>1</v>
      </c>
      <c r="N182" s="108">
        <f t="shared" si="289"/>
        <v>1</v>
      </c>
      <c r="O182" s="108">
        <f t="shared" si="289"/>
        <v>1</v>
      </c>
      <c r="P182" s="108">
        <f t="shared" ref="P182:Q182" si="290">0</f>
        <v>0</v>
      </c>
      <c r="Q182" s="108">
        <f t="shared" si="290"/>
        <v>0</v>
      </c>
      <c r="R182" s="280">
        <f t="shared" si="291"/>
        <v>6</v>
      </c>
    </row>
    <row r="183" ht="15.0" customHeight="1">
      <c r="A183" s="174" t="s">
        <v>20</v>
      </c>
      <c r="B183" s="7"/>
      <c r="C183" s="7"/>
      <c r="D183" s="7"/>
      <c r="E183" s="7"/>
      <c r="F183" s="7"/>
      <c r="G183" s="7"/>
      <c r="H183" s="8"/>
      <c r="I183" s="108">
        <f t="shared" si="292"/>
        <v>0</v>
      </c>
      <c r="J183" s="108">
        <f t="shared" ref="J183:K183" si="293">0</f>
        <v>0</v>
      </c>
      <c r="K183" s="108">
        <f t="shared" si="293"/>
        <v>0</v>
      </c>
      <c r="L183" s="108">
        <f t="shared" ref="L183:N183" si="294">0+1</f>
        <v>1</v>
      </c>
      <c r="M183" s="108">
        <f t="shared" si="294"/>
        <v>1</v>
      </c>
      <c r="N183" s="108">
        <f t="shared" si="294"/>
        <v>1</v>
      </c>
      <c r="O183" s="108">
        <f>1-1</f>
        <v>0</v>
      </c>
      <c r="P183" s="108">
        <f t="shared" ref="P183:Q183" si="295">0</f>
        <v>0</v>
      </c>
      <c r="Q183" s="108">
        <f t="shared" si="295"/>
        <v>0</v>
      </c>
      <c r="R183" s="108">
        <f t="shared" si="291"/>
        <v>3</v>
      </c>
    </row>
    <row r="184" ht="15.75" customHeight="1">
      <c r="A184" s="281"/>
      <c r="R184" s="282">
        <f>SUM(R181:R183)</f>
        <v>12</v>
      </c>
    </row>
    <row r="185" ht="15.0" customHeight="1"/>
    <row r="186" ht="15.0" customHeight="1"/>
    <row r="187" ht="15.0" customHeight="1"/>
    <row r="188" ht="15.0" customHeight="1"/>
    <row r="189" ht="15.0" customHeight="1"/>
    <row r="190" ht="15.0" customHeight="1">
      <c r="U190" s="177"/>
    </row>
    <row r="191" ht="15.0" customHeight="1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 t="s">
        <v>135</v>
      </c>
      <c r="O191" s="120"/>
      <c r="P191" s="120"/>
      <c r="Q191" s="120"/>
      <c r="R191" s="120"/>
      <c r="S191" s="120"/>
      <c r="T191" s="123"/>
      <c r="U191" s="177"/>
    </row>
    <row r="192" ht="15.0" customHeight="1">
      <c r="U192" s="177"/>
    </row>
    <row r="193" ht="15.0" customHeight="1"/>
    <row r="194" ht="15.0" customHeight="1"/>
    <row r="195" ht="15.0" customHeight="1"/>
    <row r="196" ht="15.0" customHeight="1"/>
    <row r="197" ht="15.75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>
      <c r="A224" s="139"/>
      <c r="B224" s="140"/>
      <c r="C224" s="140"/>
      <c r="D224" s="140"/>
      <c r="E224" s="140"/>
      <c r="F224" s="14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</row>
    <row r="225" ht="15.0" customHeight="1">
      <c r="A225" s="283"/>
      <c r="B225" s="284"/>
      <c r="C225" s="284"/>
      <c r="D225" s="284"/>
      <c r="E225" s="284"/>
      <c r="F225" s="284"/>
      <c r="G225" s="166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</row>
    <row r="226" ht="15.0" customHeight="1">
      <c r="A226" s="285"/>
      <c r="B226" s="286"/>
      <c r="C226" s="286"/>
      <c r="D226" s="286"/>
      <c r="E226" s="286"/>
      <c r="F226" s="284"/>
      <c r="G226" s="166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</row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>
      <c r="V252" s="177"/>
    </row>
    <row r="253" ht="15.0" customHeight="1">
      <c r="U253" s="287"/>
      <c r="V253" s="288"/>
      <c r="W253" s="177"/>
    </row>
    <row r="254" ht="15.0" customHeight="1">
      <c r="U254" s="287"/>
      <c r="V254" s="288"/>
      <c r="W254" s="177"/>
    </row>
    <row r="255" ht="15.0" customHeight="1">
      <c r="U255" s="287"/>
      <c r="V255" s="288"/>
      <c r="W255" s="177"/>
    </row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75" customHeight="1"/>
    <row r="267" ht="15.75" customHeight="1"/>
    <row r="268" ht="15.75" customHeight="1"/>
    <row r="269" ht="15.75" customHeight="1"/>
    <row r="270" ht="15.0" customHeight="1"/>
    <row r="271" ht="15.0" customHeight="1"/>
    <row r="272" ht="15.0" customHeight="1"/>
    <row r="273" ht="15.75" customHeight="1">
      <c r="A273" s="227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ht="15.75" customHeight="1">
      <c r="A274" s="227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ht="15.75" customHeight="1">
      <c r="A275" s="227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ht="15.75" customHeight="1">
      <c r="A276" s="227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ht="15.75" customHeight="1">
      <c r="A277" s="227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ht="15.75" customHeight="1">
      <c r="A278" s="227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ht="15.75" customHeight="1">
      <c r="A279" s="227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ht="15.75" customHeight="1">
      <c r="A280" s="227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ht="15.75" customHeight="1">
      <c r="A281" s="227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ht="15.75" customHeight="1">
      <c r="A282" s="227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ht="15.75" customHeight="1">
      <c r="A283" s="227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ht="15.75" customHeight="1">
      <c r="A284" s="227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ht="15.75" customHeight="1">
      <c r="A285" s="227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ht="15.75" customHeight="1">
      <c r="A286" s="227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ht="15.75" customHeight="1">
      <c r="A287" s="227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ht="15.75" customHeight="1">
      <c r="A288" s="227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ht="15.75" customHeight="1">
      <c r="A289" s="227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ht="15.75" customHeight="1">
      <c r="A290" s="227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ht="15.75" customHeight="1">
      <c r="A291" s="227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ht="15.75" customHeight="1">
      <c r="A292" s="227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ht="15.75" customHeight="1">
      <c r="A293" s="227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ht="15.75" customHeight="1">
      <c r="A294" s="227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ht="15.75" customHeight="1">
      <c r="A295" s="227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ht="15.75" customHeight="1">
      <c r="A296" s="227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ht="15.75" customHeight="1">
      <c r="A297" s="227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ht="15.75" customHeight="1">
      <c r="A298" s="227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ht="15.75" customHeight="1">
      <c r="A299" s="227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ht="15.75" customHeight="1">
      <c r="A300" s="227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ht="15.75" customHeight="1">
      <c r="A301" s="227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ht="15.75" customHeight="1">
      <c r="A302" s="227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ht="15.75" customHeight="1">
      <c r="A303" s="227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ht="15.75" customHeight="1">
      <c r="A304" s="227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ht="15.75" customHeight="1">
      <c r="A305" s="227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ht="15.75" customHeight="1">
      <c r="A306" s="227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ht="15.75" customHeight="1">
      <c r="A307" s="227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ht="15.75" customHeight="1">
      <c r="A308" s="227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ht="15.75" customHeight="1">
      <c r="A309" s="227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ht="15.75" customHeight="1">
      <c r="A310" s="227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ht="15.75" customHeight="1">
      <c r="A311" s="227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ht="15.75" customHeight="1">
      <c r="A312" s="227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ht="15.75" customHeight="1">
      <c r="A313" s="227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ht="15.75" customHeight="1">
      <c r="A314" s="227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ht="15.75" customHeight="1">
      <c r="A315" s="227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ht="15.75" customHeight="1">
      <c r="A316" s="227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ht="15.75" customHeight="1">
      <c r="A317" s="227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ht="15.75" customHeight="1">
      <c r="A318" s="227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ht="15.75" customHeight="1">
      <c r="A319" s="227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ht="15.75" customHeight="1">
      <c r="A320" s="227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ht="15.75" customHeight="1">
      <c r="A321" s="227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ht="15.75" customHeight="1">
      <c r="A322" s="227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  <row r="323" ht="15.75" customHeight="1">
      <c r="A323" s="227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</row>
    <row r="324" ht="15.75" customHeight="1">
      <c r="A324" s="227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</row>
    <row r="325" ht="15.75" customHeight="1">
      <c r="A325" s="227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</row>
    <row r="326" ht="15.75" customHeight="1">
      <c r="A326" s="227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</row>
    <row r="327" ht="15.75" customHeight="1">
      <c r="A327" s="227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</row>
    <row r="328" ht="15.75" customHeight="1">
      <c r="A328" s="227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</row>
    <row r="329" ht="15.75" customHeight="1">
      <c r="A329" s="227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</row>
    <row r="330" ht="15.75" customHeight="1">
      <c r="A330" s="227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</row>
    <row r="331" ht="15.75" customHeight="1">
      <c r="A331" s="227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</row>
    <row r="332" ht="15.75" customHeight="1">
      <c r="A332" s="227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</row>
    <row r="333" ht="15.75" customHeight="1">
      <c r="A333" s="227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</row>
    <row r="334" ht="15.75" customHeight="1">
      <c r="A334" s="227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</row>
    <row r="335" ht="15.75" customHeight="1">
      <c r="A335" s="227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</row>
    <row r="336" ht="15.75" customHeight="1">
      <c r="A336" s="227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</row>
    <row r="337" ht="15.75" customHeight="1">
      <c r="A337" s="227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</row>
    <row r="338" ht="15.75" customHeight="1">
      <c r="A338" s="227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</row>
    <row r="339" ht="15.75" customHeight="1">
      <c r="A339" s="227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</row>
    <row r="340" ht="15.75" customHeight="1">
      <c r="A340" s="227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</row>
    <row r="341" ht="15.75" customHeight="1">
      <c r="A341" s="227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</row>
    <row r="342" ht="15.75" customHeight="1">
      <c r="A342" s="227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</row>
    <row r="343" ht="15.75" customHeight="1">
      <c r="A343" s="227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</row>
    <row r="344" ht="15.75" customHeight="1">
      <c r="A344" s="227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</row>
    <row r="345" ht="15.75" customHeight="1">
      <c r="A345" s="227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</row>
    <row r="346" ht="15.75" customHeight="1">
      <c r="A346" s="227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</row>
    <row r="347" ht="15.75" customHeight="1">
      <c r="A347" s="227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</row>
    <row r="348" ht="15.75" customHeight="1">
      <c r="A348" s="227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</row>
    <row r="349" ht="15.75" customHeight="1">
      <c r="A349" s="227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</row>
    <row r="350" ht="15.75" customHeight="1">
      <c r="A350" s="227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</row>
    <row r="351" ht="15.75" customHeight="1">
      <c r="A351" s="227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</row>
    <row r="352" ht="15.75" customHeight="1">
      <c r="A352" s="227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</row>
    <row r="353" ht="15.75" customHeight="1">
      <c r="A353" s="227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</row>
    <row r="354" ht="15.75" customHeight="1">
      <c r="A354" s="227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</row>
    <row r="355" ht="15.75" customHeight="1">
      <c r="A355" s="227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</row>
    <row r="356" ht="15.75" customHeight="1">
      <c r="A356" s="227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</row>
    <row r="357" ht="15.75" customHeight="1">
      <c r="A357" s="227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</row>
    <row r="358" ht="15.75" customHeight="1">
      <c r="A358" s="227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</row>
    <row r="359" ht="15.75" customHeight="1">
      <c r="A359" s="227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</row>
    <row r="360" ht="15.75" customHeight="1">
      <c r="A360" s="227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</row>
    <row r="361" ht="15.75" customHeight="1">
      <c r="A361" s="227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</row>
    <row r="362" ht="15.75" customHeight="1">
      <c r="A362" s="227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</row>
    <row r="363" ht="15.75" customHeight="1">
      <c r="A363" s="227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</row>
    <row r="364" ht="15.75" customHeight="1">
      <c r="A364" s="227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</row>
    <row r="365" ht="15.75" customHeight="1">
      <c r="A365" s="227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</row>
    <row r="366" ht="15.75" customHeight="1">
      <c r="A366" s="227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</row>
    <row r="367" ht="15.75" customHeight="1">
      <c r="A367" s="227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</row>
    <row r="368" ht="15.75" customHeight="1">
      <c r="A368" s="227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</row>
    <row r="369" ht="15.75" customHeight="1">
      <c r="A369" s="227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</row>
    <row r="370" ht="15.75" customHeight="1">
      <c r="A370" s="227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</row>
    <row r="371" ht="15.75" customHeight="1">
      <c r="A371" s="227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</row>
    <row r="372" ht="15.75" customHeight="1">
      <c r="A372" s="227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</row>
    <row r="373" ht="15.75" customHeight="1">
      <c r="A373" s="227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</row>
    <row r="374" ht="15.75" customHeight="1">
      <c r="A374" s="227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</row>
    <row r="375" ht="15.75" customHeight="1">
      <c r="A375" s="227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</row>
    <row r="376" ht="15.75" customHeight="1">
      <c r="A376" s="227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</row>
    <row r="377" ht="15.75" customHeight="1">
      <c r="A377" s="227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</row>
    <row r="378" ht="15.75" customHeight="1">
      <c r="A378" s="227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</row>
    <row r="379" ht="15.75" customHeight="1">
      <c r="A379" s="227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</row>
    <row r="380" ht="15.75" customHeight="1">
      <c r="A380" s="227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</row>
    <row r="381" ht="15.75" customHeight="1">
      <c r="A381" s="227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</row>
    <row r="382" ht="15.75" customHeight="1">
      <c r="A382" s="227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</row>
    <row r="383" ht="15.75" customHeight="1">
      <c r="A383" s="227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</row>
    <row r="384" ht="15.75" customHeight="1">
      <c r="A384" s="227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</row>
    <row r="385" ht="15.75" customHeight="1">
      <c r="A385" s="227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</row>
    <row r="386" ht="15.75" customHeight="1">
      <c r="A386" s="227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</row>
    <row r="387" ht="15.75" customHeight="1">
      <c r="A387" s="227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</row>
    <row r="388" ht="15.75" customHeight="1">
      <c r="A388" s="227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</row>
    <row r="389" ht="15.75" customHeight="1">
      <c r="A389" s="227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</row>
    <row r="390" ht="15.75" customHeight="1">
      <c r="A390" s="227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</row>
    <row r="391" ht="15.75" customHeight="1">
      <c r="A391" s="227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</row>
    <row r="392" ht="15.75" customHeight="1">
      <c r="A392" s="227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</row>
    <row r="393" ht="15.75" customHeight="1">
      <c r="A393" s="227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</row>
    <row r="394" ht="15.75" customHeight="1">
      <c r="A394" s="227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</row>
    <row r="395" ht="15.75" customHeight="1">
      <c r="A395" s="227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</row>
    <row r="396" ht="15.75" customHeight="1">
      <c r="A396" s="227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</row>
    <row r="397" ht="15.75" customHeight="1">
      <c r="A397" s="227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</row>
    <row r="398" ht="15.75" customHeight="1">
      <c r="A398" s="227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</row>
    <row r="399" ht="15.75" customHeight="1">
      <c r="A399" s="227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</row>
    <row r="400" ht="15.75" customHeight="1">
      <c r="A400" s="227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</row>
    <row r="401" ht="15.75" customHeight="1">
      <c r="A401" s="227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</row>
    <row r="402" ht="15.75" customHeight="1">
      <c r="A402" s="227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</row>
    <row r="403" ht="15.75" customHeight="1">
      <c r="A403" s="227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</row>
    <row r="404" ht="15.75" customHeight="1">
      <c r="A404" s="227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</row>
    <row r="405" ht="15.75" customHeight="1">
      <c r="A405" s="227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</row>
    <row r="406" ht="15.75" customHeight="1">
      <c r="A406" s="227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</row>
    <row r="407" ht="15.75" customHeight="1">
      <c r="A407" s="227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</row>
    <row r="408" ht="15.75" customHeight="1">
      <c r="A408" s="227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</row>
    <row r="409" ht="15.75" customHeight="1">
      <c r="A409" s="227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</row>
    <row r="410" ht="15.75" customHeight="1">
      <c r="A410" s="227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</row>
    <row r="411" ht="15.75" customHeight="1">
      <c r="A411" s="227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</row>
    <row r="412" ht="15.75" customHeight="1">
      <c r="A412" s="227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</row>
    <row r="413" ht="15.75" customHeight="1">
      <c r="A413" s="227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</row>
    <row r="414" ht="15.75" customHeight="1">
      <c r="A414" s="227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</row>
    <row r="415" ht="15.75" customHeight="1">
      <c r="A415" s="227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</row>
    <row r="416" ht="15.75" customHeight="1">
      <c r="A416" s="227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</row>
    <row r="417" ht="15.75" customHeight="1">
      <c r="A417" s="227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</row>
    <row r="418" ht="15.75" customHeight="1">
      <c r="A418" s="227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</row>
    <row r="419" ht="15.75" customHeight="1">
      <c r="A419" s="227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</row>
    <row r="420" ht="15.75" customHeight="1">
      <c r="A420" s="227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</row>
    <row r="421" ht="15.75" customHeight="1">
      <c r="A421" s="227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</row>
    <row r="422" ht="15.75" customHeight="1">
      <c r="A422" s="227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</row>
    <row r="423" ht="15.75" customHeight="1">
      <c r="A423" s="227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</row>
    <row r="424" ht="15.75" customHeight="1">
      <c r="A424" s="227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</row>
    <row r="425" ht="15.75" customHeight="1">
      <c r="A425" s="227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</row>
    <row r="426" ht="15.75" customHeight="1">
      <c r="A426" s="227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</row>
    <row r="427" ht="15.75" customHeight="1">
      <c r="A427" s="227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</row>
    <row r="428" ht="15.75" customHeight="1">
      <c r="A428" s="227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</row>
    <row r="429" ht="15.75" customHeight="1">
      <c r="A429" s="227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</row>
    <row r="430" ht="15.75" customHeight="1">
      <c r="A430" s="227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</row>
    <row r="431" ht="15.75" customHeight="1">
      <c r="A431" s="227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</row>
    <row r="432" ht="15.75" customHeight="1">
      <c r="A432" s="227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</row>
    <row r="433" ht="15.75" customHeight="1">
      <c r="A433" s="227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</row>
    <row r="434" ht="15.75" customHeight="1">
      <c r="A434" s="227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</row>
    <row r="435" ht="15.75" customHeight="1">
      <c r="A435" s="227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</row>
    <row r="436" ht="15.75" customHeight="1">
      <c r="A436" s="227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</row>
    <row r="437" ht="15.75" customHeight="1">
      <c r="A437" s="227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</row>
    <row r="438" ht="15.75" customHeight="1">
      <c r="A438" s="227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</row>
    <row r="439" ht="15.75" customHeight="1">
      <c r="A439" s="227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</row>
    <row r="440" ht="15.75" customHeight="1">
      <c r="A440" s="227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</row>
    <row r="441" ht="15.75" customHeight="1">
      <c r="A441" s="227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</row>
    <row r="442" ht="15.75" customHeight="1">
      <c r="A442" s="227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</row>
    <row r="443" ht="15.75" customHeight="1">
      <c r="A443" s="227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</row>
    <row r="444" ht="15.75" customHeight="1">
      <c r="A444" s="227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</row>
    <row r="445" ht="15.75" customHeight="1">
      <c r="A445" s="227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</row>
    <row r="446" ht="15.75" customHeight="1">
      <c r="A446" s="227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</row>
    <row r="447" ht="15.75" customHeight="1">
      <c r="A447" s="227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</row>
    <row r="448" ht="15.75" customHeight="1">
      <c r="A448" s="227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</row>
    <row r="449" ht="15.75" customHeight="1">
      <c r="A449" s="227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</row>
    <row r="450" ht="15.75" customHeight="1">
      <c r="A450" s="227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</row>
    <row r="451" ht="15.75" customHeight="1">
      <c r="A451" s="227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</row>
    <row r="452" ht="15.75" customHeight="1">
      <c r="A452" s="227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</row>
    <row r="453" ht="15.75" customHeight="1">
      <c r="A453" s="227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</row>
    <row r="454" ht="15.75" customHeight="1">
      <c r="A454" s="227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</row>
    <row r="455" ht="15.75" customHeight="1">
      <c r="A455" s="227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</row>
    <row r="456" ht="15.75" customHeight="1">
      <c r="A456" s="227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</row>
    <row r="457" ht="15.75" customHeight="1">
      <c r="A457" s="227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</row>
    <row r="458" ht="15.75" customHeight="1">
      <c r="A458" s="227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</row>
    <row r="459" ht="15.75" customHeight="1">
      <c r="A459" s="227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</row>
    <row r="460" ht="15.75" customHeight="1">
      <c r="A460" s="227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</row>
    <row r="461" ht="15.75" customHeight="1">
      <c r="A461" s="227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</row>
    <row r="462" ht="15.75" customHeight="1">
      <c r="A462" s="227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</row>
    <row r="463" ht="15.75" customHeight="1">
      <c r="A463" s="227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</row>
    <row r="464" ht="15.75" customHeight="1">
      <c r="A464" s="227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</row>
    <row r="465" ht="15.75" customHeight="1">
      <c r="A465" s="227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</row>
    <row r="466" ht="15.75" customHeight="1">
      <c r="A466" s="227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</row>
    <row r="467" ht="15.75" customHeight="1">
      <c r="A467" s="227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</row>
    <row r="468" ht="15.75" customHeight="1">
      <c r="A468" s="227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</row>
    <row r="469" ht="15.75" customHeight="1">
      <c r="A469" s="227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</row>
    <row r="470" ht="15.75" customHeight="1">
      <c r="A470" s="227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</row>
    <row r="471" ht="15.75" customHeight="1">
      <c r="A471" s="227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</row>
    <row r="472" ht="15.75" customHeight="1">
      <c r="A472" s="227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</row>
    <row r="473" ht="15.75" customHeight="1">
      <c r="A473" s="227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</row>
    <row r="474" ht="15.75" customHeight="1">
      <c r="A474" s="227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</row>
    <row r="475" ht="15.75" customHeight="1">
      <c r="A475" s="227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</row>
    <row r="476" ht="15.75" customHeight="1">
      <c r="A476" s="227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</row>
    <row r="477" ht="15.75" customHeight="1">
      <c r="A477" s="227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</row>
    <row r="478" ht="15.75" customHeight="1">
      <c r="A478" s="227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</row>
    <row r="479" ht="15.75" customHeight="1">
      <c r="A479" s="227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</row>
    <row r="480" ht="15.75" customHeight="1">
      <c r="A480" s="227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</row>
    <row r="481" ht="15.75" customHeight="1">
      <c r="A481" s="227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</row>
    <row r="482" ht="15.75" customHeight="1">
      <c r="A482" s="227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</row>
    <row r="483" ht="15.75" customHeight="1">
      <c r="A483" s="227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</row>
    <row r="484" ht="15.75" customHeight="1">
      <c r="A484" s="227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</row>
    <row r="485" ht="15.75" customHeight="1">
      <c r="A485" s="227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</row>
    <row r="486" ht="15.75" customHeight="1">
      <c r="A486" s="227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</row>
    <row r="487" ht="15.75" customHeight="1">
      <c r="A487" s="227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</row>
    <row r="488" ht="15.75" customHeight="1">
      <c r="A488" s="227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</row>
    <row r="489" ht="15.75" customHeight="1">
      <c r="A489" s="227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</row>
    <row r="490" ht="15.75" customHeight="1">
      <c r="A490" s="227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</row>
    <row r="491" ht="15.75" customHeight="1">
      <c r="A491" s="227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</row>
    <row r="492" ht="15.75" customHeight="1">
      <c r="A492" s="227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</row>
    <row r="493" ht="15.75" customHeight="1">
      <c r="A493" s="227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</row>
    <row r="494" ht="15.75" customHeight="1">
      <c r="A494" s="227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</row>
    <row r="495" ht="15.75" customHeight="1">
      <c r="A495" s="227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</row>
    <row r="496" ht="15.75" customHeight="1">
      <c r="A496" s="227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</row>
    <row r="497" ht="15.75" customHeight="1">
      <c r="A497" s="227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</row>
    <row r="498" ht="15.75" customHeight="1">
      <c r="A498" s="227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</row>
    <row r="499" ht="15.75" customHeight="1">
      <c r="A499" s="227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</row>
    <row r="500" ht="15.75" customHeight="1">
      <c r="A500" s="227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</row>
    <row r="501" ht="15.75" customHeight="1">
      <c r="A501" s="227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</row>
    <row r="502" ht="15.75" customHeight="1">
      <c r="A502" s="227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</row>
    <row r="503" ht="15.75" customHeight="1">
      <c r="A503" s="227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</row>
    <row r="504" ht="15.75" customHeight="1">
      <c r="A504" s="227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</row>
    <row r="505" ht="15.75" customHeight="1">
      <c r="A505" s="227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</row>
    <row r="506" ht="15.75" customHeight="1">
      <c r="A506" s="227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</row>
    <row r="507" ht="15.75" customHeight="1">
      <c r="A507" s="227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</row>
    <row r="508" ht="15.75" customHeight="1">
      <c r="A508" s="227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</row>
    <row r="509" ht="15.75" customHeight="1">
      <c r="A509" s="227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</row>
    <row r="510" ht="15.75" customHeight="1">
      <c r="A510" s="227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</row>
    <row r="511" ht="15.75" customHeight="1">
      <c r="A511" s="227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</row>
    <row r="512" ht="15.75" customHeight="1">
      <c r="A512" s="227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</row>
    <row r="513" ht="15.75" customHeight="1">
      <c r="A513" s="227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</row>
    <row r="514" ht="15.75" customHeight="1">
      <c r="A514" s="227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</row>
    <row r="515" ht="15.75" customHeight="1">
      <c r="A515" s="227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</row>
    <row r="516" ht="15.75" customHeight="1">
      <c r="A516" s="227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</row>
    <row r="517" ht="15.75" customHeight="1">
      <c r="A517" s="227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</row>
    <row r="518" ht="15.75" customHeight="1">
      <c r="A518" s="227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</row>
    <row r="519" ht="15.75" customHeight="1">
      <c r="A519" s="227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</row>
    <row r="520" ht="15.75" customHeight="1">
      <c r="A520" s="227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</row>
    <row r="521" ht="15.75" customHeight="1">
      <c r="A521" s="227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</row>
    <row r="522" ht="15.75" customHeight="1">
      <c r="A522" s="227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</row>
    <row r="523" ht="15.75" customHeight="1">
      <c r="A523" s="227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</row>
    <row r="524" ht="15.75" customHeight="1">
      <c r="A524" s="227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</row>
    <row r="525" ht="15.75" customHeight="1">
      <c r="A525" s="227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</row>
    <row r="526" ht="15.75" customHeight="1">
      <c r="A526" s="227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</row>
    <row r="527" ht="15.75" customHeight="1">
      <c r="A527" s="227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</row>
    <row r="528" ht="15.75" customHeight="1">
      <c r="A528" s="227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</row>
    <row r="529" ht="15.75" customHeight="1">
      <c r="A529" s="227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</row>
    <row r="530" ht="15.75" customHeight="1">
      <c r="A530" s="227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</row>
    <row r="531" ht="15.75" customHeight="1">
      <c r="A531" s="227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</row>
    <row r="532" ht="15.75" customHeight="1">
      <c r="A532" s="227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</row>
    <row r="533" ht="15.75" customHeight="1">
      <c r="A533" s="227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</row>
    <row r="534" ht="15.75" customHeight="1">
      <c r="A534" s="227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</row>
    <row r="535" ht="15.75" customHeight="1">
      <c r="A535" s="227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</row>
    <row r="536" ht="15.75" customHeight="1">
      <c r="A536" s="227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</row>
    <row r="537" ht="15.75" customHeight="1">
      <c r="A537" s="227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</row>
    <row r="538" ht="15.75" customHeight="1">
      <c r="A538" s="227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</row>
    <row r="539" ht="15.75" customHeight="1">
      <c r="A539" s="227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</row>
    <row r="540" ht="15.75" customHeight="1">
      <c r="A540" s="227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</row>
    <row r="541" ht="15.75" customHeight="1">
      <c r="A541" s="227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</row>
    <row r="542" ht="15.75" customHeight="1">
      <c r="A542" s="227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</row>
    <row r="543" ht="15.75" customHeight="1">
      <c r="A543" s="227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</row>
    <row r="544" ht="15.75" customHeight="1">
      <c r="A544" s="227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</row>
    <row r="545" ht="15.75" customHeight="1">
      <c r="A545" s="227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</row>
    <row r="546" ht="15.75" customHeight="1">
      <c r="A546" s="227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</row>
    <row r="547" ht="15.75" customHeight="1">
      <c r="A547" s="227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</row>
    <row r="548" ht="15.75" customHeight="1">
      <c r="A548" s="227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</row>
    <row r="549" ht="15.75" customHeight="1">
      <c r="A549" s="227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</row>
    <row r="550" ht="15.75" customHeight="1">
      <c r="A550" s="227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</row>
    <row r="551" ht="15.75" customHeight="1">
      <c r="A551" s="227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</row>
    <row r="552" ht="15.75" customHeight="1">
      <c r="A552" s="227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</row>
    <row r="553" ht="15.75" customHeight="1">
      <c r="A553" s="227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</row>
    <row r="554" ht="15.75" customHeight="1">
      <c r="A554" s="227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</row>
    <row r="555" ht="15.75" customHeight="1">
      <c r="A555" s="227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</row>
    <row r="556" ht="15.75" customHeight="1">
      <c r="A556" s="227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</row>
    <row r="557" ht="15.75" customHeight="1">
      <c r="A557" s="227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</row>
    <row r="558" ht="15.75" customHeight="1">
      <c r="A558" s="227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</row>
    <row r="559" ht="15.75" customHeight="1">
      <c r="A559" s="227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</row>
    <row r="560" ht="15.75" customHeight="1">
      <c r="A560" s="227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</row>
    <row r="561" ht="15.75" customHeight="1">
      <c r="A561" s="227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</row>
    <row r="562" ht="15.75" customHeight="1">
      <c r="A562" s="227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</row>
    <row r="563" ht="15.75" customHeight="1">
      <c r="A563" s="227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</row>
    <row r="564" ht="15.75" customHeight="1">
      <c r="A564" s="227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</row>
    <row r="565" ht="15.75" customHeight="1">
      <c r="A565" s="227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</row>
    <row r="566" ht="15.75" customHeight="1">
      <c r="A566" s="227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</row>
    <row r="567" ht="15.75" customHeight="1">
      <c r="A567" s="227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</row>
    <row r="568" ht="15.75" customHeight="1">
      <c r="A568" s="227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</row>
    <row r="569" ht="15.75" customHeight="1">
      <c r="A569" s="227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</row>
    <row r="570" ht="15.75" customHeight="1">
      <c r="A570" s="227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</row>
    <row r="571" ht="15.75" customHeight="1">
      <c r="A571" s="227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</row>
    <row r="572" ht="15.75" customHeight="1">
      <c r="A572" s="227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</row>
    <row r="573" ht="15.75" customHeight="1">
      <c r="A573" s="227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</row>
    <row r="574" ht="15.75" customHeight="1">
      <c r="A574" s="227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</row>
    <row r="575" ht="15.75" customHeight="1">
      <c r="A575" s="227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</row>
    <row r="576" ht="15.75" customHeight="1">
      <c r="A576" s="227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</row>
    <row r="577" ht="15.75" customHeight="1">
      <c r="A577" s="227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</row>
    <row r="578" ht="15.75" customHeight="1">
      <c r="A578" s="227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</row>
    <row r="579" ht="15.75" customHeight="1">
      <c r="A579" s="227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</row>
    <row r="580" ht="15.75" customHeight="1">
      <c r="A580" s="227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</row>
    <row r="581" ht="15.75" customHeight="1">
      <c r="A581" s="227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</row>
    <row r="582" ht="15.75" customHeight="1">
      <c r="A582" s="227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</row>
    <row r="583" ht="15.75" customHeight="1">
      <c r="A583" s="227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</row>
    <row r="584" ht="15.75" customHeight="1">
      <c r="A584" s="227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</row>
    <row r="585" ht="15.75" customHeight="1">
      <c r="A585" s="227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</row>
    <row r="586" ht="15.75" customHeight="1">
      <c r="A586" s="227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</row>
    <row r="587" ht="15.75" customHeight="1">
      <c r="A587" s="227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</row>
    <row r="588" ht="15.75" customHeight="1">
      <c r="A588" s="227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</row>
    <row r="589" ht="15.75" customHeight="1">
      <c r="A589" s="227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</row>
    <row r="590" ht="15.75" customHeight="1">
      <c r="A590" s="227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</row>
    <row r="591" ht="15.75" customHeight="1">
      <c r="A591" s="227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</row>
    <row r="592" ht="15.75" customHeight="1">
      <c r="A592" s="227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</row>
    <row r="593" ht="15.75" customHeight="1">
      <c r="A593" s="227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</row>
    <row r="594" ht="15.75" customHeight="1">
      <c r="A594" s="227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</row>
    <row r="595" ht="15.75" customHeight="1">
      <c r="A595" s="227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</row>
    <row r="596" ht="15.75" customHeight="1">
      <c r="A596" s="227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</row>
    <row r="597" ht="15.75" customHeight="1">
      <c r="A597" s="227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</row>
    <row r="598" ht="15.75" customHeight="1">
      <c r="A598" s="227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</row>
    <row r="599" ht="15.75" customHeight="1">
      <c r="A599" s="227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</row>
    <row r="600" ht="15.75" customHeight="1">
      <c r="A600" s="227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</row>
    <row r="601" ht="15.75" customHeight="1">
      <c r="A601" s="227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</row>
    <row r="602" ht="15.75" customHeight="1">
      <c r="A602" s="227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</row>
    <row r="603" ht="15.75" customHeight="1">
      <c r="A603" s="227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</row>
    <row r="604" ht="15.75" customHeight="1">
      <c r="A604" s="227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</row>
    <row r="605" ht="15.75" customHeight="1">
      <c r="A605" s="227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</row>
    <row r="606" ht="15.75" customHeight="1">
      <c r="A606" s="227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</row>
    <row r="607" ht="15.75" customHeight="1">
      <c r="A607" s="227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</row>
    <row r="608" ht="15.75" customHeight="1">
      <c r="A608" s="227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</row>
    <row r="609" ht="15.75" customHeight="1">
      <c r="A609" s="227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</row>
    <row r="610" ht="15.75" customHeight="1">
      <c r="A610" s="227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</row>
    <row r="611" ht="15.75" customHeight="1">
      <c r="A611" s="227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</row>
    <row r="612" ht="15.75" customHeight="1">
      <c r="A612" s="227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</row>
    <row r="613" ht="15.75" customHeight="1">
      <c r="A613" s="227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</row>
    <row r="614" ht="15.75" customHeight="1">
      <c r="A614" s="227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</row>
    <row r="615" ht="15.75" customHeight="1">
      <c r="A615" s="227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</row>
    <row r="616" ht="15.75" customHeight="1">
      <c r="A616" s="227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</row>
    <row r="617" ht="15.75" customHeight="1">
      <c r="A617" s="227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</row>
    <row r="618" ht="15.75" customHeight="1">
      <c r="A618" s="227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</row>
    <row r="619" ht="15.75" customHeight="1">
      <c r="A619" s="227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</row>
    <row r="620" ht="15.75" customHeight="1">
      <c r="A620" s="227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</row>
    <row r="621" ht="15.75" customHeight="1">
      <c r="A621" s="227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</row>
    <row r="622" ht="15.75" customHeight="1">
      <c r="A622" s="227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</row>
    <row r="623" ht="15.75" customHeight="1">
      <c r="A623" s="227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</row>
    <row r="624" ht="15.75" customHeight="1">
      <c r="A624" s="227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</row>
    <row r="625" ht="15.75" customHeight="1">
      <c r="A625" s="227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</row>
    <row r="626" ht="15.75" customHeight="1">
      <c r="A626" s="227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</row>
    <row r="627" ht="15.75" customHeight="1">
      <c r="A627" s="227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</row>
    <row r="628" ht="15.75" customHeight="1">
      <c r="A628" s="227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</row>
    <row r="629" ht="15.75" customHeight="1">
      <c r="A629" s="227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</row>
    <row r="630" ht="15.75" customHeight="1">
      <c r="A630" s="227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</row>
    <row r="631" ht="15.75" customHeight="1">
      <c r="A631" s="227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</row>
    <row r="632" ht="15.75" customHeight="1">
      <c r="A632" s="227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</row>
    <row r="633" ht="15.75" customHeight="1">
      <c r="A633" s="227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</row>
    <row r="634" ht="15.75" customHeight="1">
      <c r="A634" s="227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</row>
    <row r="635" ht="15.75" customHeight="1">
      <c r="A635" s="227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</row>
    <row r="636" ht="15.75" customHeight="1">
      <c r="A636" s="227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</row>
    <row r="637" ht="15.75" customHeight="1">
      <c r="A637" s="227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</row>
    <row r="638" ht="15.75" customHeight="1">
      <c r="A638" s="227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</row>
    <row r="639" ht="15.75" customHeight="1">
      <c r="A639" s="227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</row>
    <row r="640" ht="15.75" customHeight="1">
      <c r="A640" s="227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</row>
    <row r="641" ht="15.75" customHeight="1">
      <c r="A641" s="227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</row>
    <row r="642" ht="15.75" customHeight="1">
      <c r="A642" s="227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</row>
    <row r="643" ht="15.75" customHeight="1">
      <c r="A643" s="227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</row>
    <row r="644" ht="15.75" customHeight="1">
      <c r="A644" s="227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</row>
    <row r="645" ht="15.75" customHeight="1">
      <c r="A645" s="227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</row>
    <row r="646" ht="15.75" customHeight="1">
      <c r="A646" s="227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</row>
    <row r="647" ht="15.75" customHeight="1">
      <c r="A647" s="227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</row>
    <row r="648" ht="15.75" customHeight="1">
      <c r="A648" s="227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</row>
    <row r="649" ht="15.75" customHeight="1">
      <c r="A649" s="227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</row>
    <row r="650" ht="15.75" customHeight="1">
      <c r="A650" s="227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</row>
    <row r="651" ht="15.75" customHeight="1">
      <c r="A651" s="227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</row>
    <row r="652" ht="15.75" customHeight="1">
      <c r="A652" s="227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</row>
    <row r="653" ht="15.75" customHeight="1">
      <c r="A653" s="227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</row>
    <row r="654" ht="15.75" customHeight="1">
      <c r="A654" s="227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</row>
    <row r="655" ht="15.75" customHeight="1">
      <c r="A655" s="227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</row>
    <row r="656" ht="15.75" customHeight="1">
      <c r="A656" s="227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</row>
    <row r="657" ht="15.75" customHeight="1">
      <c r="A657" s="227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</row>
    <row r="658" ht="15.75" customHeight="1">
      <c r="A658" s="227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</row>
    <row r="659" ht="15.75" customHeight="1">
      <c r="A659" s="227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</row>
    <row r="660" ht="15.75" customHeight="1">
      <c r="A660" s="227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</row>
    <row r="661" ht="15.75" customHeight="1">
      <c r="A661" s="227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</row>
    <row r="662" ht="15.75" customHeight="1">
      <c r="A662" s="227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</row>
    <row r="663" ht="15.75" customHeight="1">
      <c r="A663" s="227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</row>
    <row r="664" ht="15.75" customHeight="1">
      <c r="A664" s="227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</row>
    <row r="665" ht="15.75" customHeight="1">
      <c r="A665" s="227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</row>
    <row r="666" ht="15.75" customHeight="1">
      <c r="A666" s="227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</row>
    <row r="667" ht="15.75" customHeight="1">
      <c r="A667" s="227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</row>
    <row r="668" ht="15.75" customHeight="1">
      <c r="A668" s="227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</row>
    <row r="669" ht="15.75" customHeight="1">
      <c r="A669" s="227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</row>
    <row r="670" ht="15.75" customHeight="1">
      <c r="A670" s="227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</row>
    <row r="671" ht="15.75" customHeight="1">
      <c r="A671" s="227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</row>
    <row r="672" ht="15.75" customHeight="1">
      <c r="A672" s="227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</row>
    <row r="673" ht="15.75" customHeight="1">
      <c r="A673" s="227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</row>
    <row r="674" ht="15.75" customHeight="1">
      <c r="A674" s="227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</row>
    <row r="675" ht="15.75" customHeight="1">
      <c r="A675" s="227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</row>
    <row r="676" ht="15.75" customHeight="1">
      <c r="A676" s="227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</row>
    <row r="677" ht="15.75" customHeight="1">
      <c r="A677" s="227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</row>
    <row r="678" ht="15.75" customHeight="1">
      <c r="A678" s="227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</row>
    <row r="679" ht="15.75" customHeight="1">
      <c r="A679" s="227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</row>
    <row r="680" ht="15.75" customHeight="1">
      <c r="A680" s="227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</row>
    <row r="681" ht="15.75" customHeight="1">
      <c r="A681" s="227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</row>
    <row r="682" ht="15.75" customHeight="1">
      <c r="A682" s="227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</row>
    <row r="683" ht="15.75" customHeight="1">
      <c r="A683" s="227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</row>
    <row r="684" ht="15.75" customHeight="1">
      <c r="A684" s="227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</row>
    <row r="685" ht="15.75" customHeight="1">
      <c r="A685" s="227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</row>
    <row r="686" ht="15.75" customHeight="1">
      <c r="A686" s="227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</row>
    <row r="687" ht="15.75" customHeight="1">
      <c r="A687" s="227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</row>
    <row r="688" ht="15.75" customHeight="1">
      <c r="A688" s="227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</row>
    <row r="689" ht="15.75" customHeight="1">
      <c r="A689" s="227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</row>
    <row r="690" ht="15.75" customHeight="1">
      <c r="A690" s="227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</row>
    <row r="691" ht="15.75" customHeight="1">
      <c r="A691" s="227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</row>
    <row r="692" ht="15.75" customHeight="1">
      <c r="A692" s="227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</row>
    <row r="693" ht="15.75" customHeight="1">
      <c r="A693" s="227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</row>
    <row r="694" ht="15.75" customHeight="1">
      <c r="A694" s="227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</row>
    <row r="695" ht="15.75" customHeight="1">
      <c r="A695" s="227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</row>
    <row r="696" ht="15.75" customHeight="1">
      <c r="A696" s="227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</row>
    <row r="697" ht="15.75" customHeight="1">
      <c r="A697" s="227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</row>
    <row r="698" ht="15.75" customHeight="1">
      <c r="A698" s="227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</row>
    <row r="699" ht="15.75" customHeight="1">
      <c r="A699" s="227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</row>
    <row r="700" ht="15.75" customHeight="1">
      <c r="A700" s="227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</row>
    <row r="701" ht="15.75" customHeight="1">
      <c r="A701" s="227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</row>
    <row r="702" ht="15.75" customHeight="1">
      <c r="A702" s="227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</row>
    <row r="703" ht="15.75" customHeight="1">
      <c r="A703" s="227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</row>
    <row r="704" ht="15.75" customHeight="1">
      <c r="A704" s="227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</row>
    <row r="705" ht="15.75" customHeight="1">
      <c r="A705" s="227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</row>
    <row r="706" ht="15.75" customHeight="1">
      <c r="A706" s="227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</row>
    <row r="707" ht="15.75" customHeight="1">
      <c r="A707" s="227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</row>
    <row r="708" ht="15.75" customHeight="1">
      <c r="A708" s="227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</row>
    <row r="709" ht="15.75" customHeight="1">
      <c r="A709" s="227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</row>
    <row r="710" ht="15.75" customHeight="1">
      <c r="A710" s="227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</row>
    <row r="711" ht="15.75" customHeight="1">
      <c r="A711" s="227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</row>
    <row r="712" ht="15.75" customHeight="1">
      <c r="A712" s="227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</row>
    <row r="713" ht="15.75" customHeight="1">
      <c r="A713" s="227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</row>
    <row r="714" ht="15.75" customHeight="1">
      <c r="A714" s="227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</row>
    <row r="715" ht="15.75" customHeight="1">
      <c r="A715" s="227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</row>
    <row r="716" ht="15.75" customHeight="1">
      <c r="A716" s="227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</row>
    <row r="717" ht="15.75" customHeight="1">
      <c r="A717" s="227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</row>
    <row r="718" ht="15.75" customHeight="1">
      <c r="A718" s="227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</row>
    <row r="719" ht="15.75" customHeight="1">
      <c r="A719" s="227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</row>
    <row r="720" ht="15.75" customHeight="1">
      <c r="A720" s="227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</row>
    <row r="721" ht="15.75" customHeight="1">
      <c r="A721" s="227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</row>
    <row r="722" ht="15.75" customHeight="1">
      <c r="A722" s="227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</row>
    <row r="723" ht="15.75" customHeight="1">
      <c r="A723" s="227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</row>
    <row r="724" ht="15.75" customHeight="1">
      <c r="A724" s="227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</row>
    <row r="725" ht="15.75" customHeight="1">
      <c r="A725" s="227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</row>
    <row r="726" ht="15.75" customHeight="1">
      <c r="A726" s="227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</row>
    <row r="727" ht="15.75" customHeight="1">
      <c r="A727" s="227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</row>
    <row r="728" ht="15.75" customHeight="1">
      <c r="A728" s="227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</row>
    <row r="729" ht="15.75" customHeight="1">
      <c r="A729" s="227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</row>
    <row r="730" ht="15.75" customHeight="1">
      <c r="A730" s="227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</row>
    <row r="731" ht="15.75" customHeight="1">
      <c r="A731" s="227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</row>
    <row r="732" ht="15.75" customHeight="1">
      <c r="A732" s="227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</row>
    <row r="733" ht="15.75" customHeight="1">
      <c r="A733" s="227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</row>
    <row r="734" ht="15.75" customHeight="1">
      <c r="A734" s="227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</row>
    <row r="735" ht="15.75" customHeight="1">
      <c r="A735" s="227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</row>
    <row r="736" ht="15.75" customHeight="1">
      <c r="A736" s="227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</row>
    <row r="737" ht="15.75" customHeight="1">
      <c r="A737" s="227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</row>
    <row r="738" ht="15.75" customHeight="1">
      <c r="A738" s="227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</row>
    <row r="739" ht="15.75" customHeight="1">
      <c r="A739" s="227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</row>
    <row r="740" ht="15.75" customHeight="1">
      <c r="A740" s="227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</row>
    <row r="741" ht="15.75" customHeight="1">
      <c r="A741" s="227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</row>
    <row r="742" ht="15.75" customHeight="1">
      <c r="A742" s="227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</row>
    <row r="743" ht="15.75" customHeight="1">
      <c r="A743" s="227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</row>
    <row r="744" ht="15.75" customHeight="1">
      <c r="A744" s="227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</row>
    <row r="745" ht="15.75" customHeight="1">
      <c r="A745" s="227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</row>
    <row r="746" ht="15.75" customHeight="1">
      <c r="A746" s="227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</row>
    <row r="747" ht="15.75" customHeight="1">
      <c r="A747" s="227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</row>
    <row r="748" ht="15.75" customHeight="1">
      <c r="A748" s="227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</row>
    <row r="749" ht="15.75" customHeight="1">
      <c r="A749" s="227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</row>
    <row r="750" ht="15.75" customHeight="1">
      <c r="A750" s="227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</row>
    <row r="751" ht="15.75" customHeight="1">
      <c r="A751" s="227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</row>
    <row r="752" ht="15.75" customHeight="1">
      <c r="A752" s="227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</row>
    <row r="753" ht="15.75" customHeight="1">
      <c r="A753" s="227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</row>
    <row r="754" ht="15.75" customHeight="1">
      <c r="A754" s="227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</row>
    <row r="755" ht="15.75" customHeight="1">
      <c r="A755" s="227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</row>
    <row r="756" ht="15.75" customHeight="1">
      <c r="A756" s="227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</row>
    <row r="757" ht="15.75" customHeight="1">
      <c r="A757" s="227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</row>
    <row r="758" ht="15.75" customHeight="1">
      <c r="A758" s="227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</row>
    <row r="759" ht="15.75" customHeight="1">
      <c r="A759" s="227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</row>
    <row r="760" ht="15.75" customHeight="1">
      <c r="A760" s="227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</row>
    <row r="761" ht="15.75" customHeight="1">
      <c r="A761" s="227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</row>
    <row r="762" ht="15.75" customHeight="1">
      <c r="A762" s="227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</row>
    <row r="763" ht="15.75" customHeight="1">
      <c r="A763" s="227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</row>
    <row r="764" ht="15.75" customHeight="1">
      <c r="A764" s="227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</row>
    <row r="765" ht="15.75" customHeight="1">
      <c r="A765" s="227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</row>
    <row r="766" ht="15.75" customHeight="1">
      <c r="A766" s="227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</row>
    <row r="767" ht="15.75" customHeight="1">
      <c r="A767" s="227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</row>
    <row r="768" ht="15.75" customHeight="1">
      <c r="A768" s="227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</row>
    <row r="769" ht="15.75" customHeight="1">
      <c r="A769" s="227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</row>
    <row r="770" ht="15.75" customHeight="1">
      <c r="A770" s="227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</row>
    <row r="771" ht="15.75" customHeight="1">
      <c r="A771" s="227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</row>
    <row r="772" ht="15.75" customHeight="1">
      <c r="A772" s="227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</row>
    <row r="773" ht="15.75" customHeight="1">
      <c r="A773" s="227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</row>
    <row r="774" ht="15.75" customHeight="1">
      <c r="A774" s="227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</row>
    <row r="775" ht="15.75" customHeight="1">
      <c r="A775" s="227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</row>
    <row r="776" ht="15.75" customHeight="1">
      <c r="A776" s="227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</row>
    <row r="777" ht="15.75" customHeight="1">
      <c r="A777" s="227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</row>
    <row r="778" ht="15.75" customHeight="1">
      <c r="A778" s="227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</row>
    <row r="779" ht="15.75" customHeight="1">
      <c r="A779" s="227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</row>
    <row r="780" ht="15.75" customHeight="1">
      <c r="A780" s="227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</row>
    <row r="781" ht="15.75" customHeight="1">
      <c r="A781" s="227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</row>
    <row r="782" ht="15.75" customHeight="1">
      <c r="A782" s="227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</row>
    <row r="783" ht="15.75" customHeight="1">
      <c r="A783" s="227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</row>
    <row r="784" ht="15.75" customHeight="1">
      <c r="A784" s="227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</row>
    <row r="785" ht="15.75" customHeight="1">
      <c r="A785" s="227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</row>
    <row r="786" ht="15.75" customHeight="1">
      <c r="A786" s="227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</row>
    <row r="787" ht="15.75" customHeight="1">
      <c r="A787" s="227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</row>
    <row r="788" ht="15.75" customHeight="1">
      <c r="A788" s="227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</row>
    <row r="789" ht="15.75" customHeight="1">
      <c r="A789" s="227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</row>
    <row r="790" ht="15.75" customHeight="1">
      <c r="A790" s="227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</row>
    <row r="791" ht="15.75" customHeight="1">
      <c r="A791" s="227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</row>
    <row r="792" ht="15.75" customHeight="1">
      <c r="A792" s="227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</row>
    <row r="793" ht="15.75" customHeight="1">
      <c r="A793" s="227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</row>
    <row r="794" ht="15.75" customHeight="1">
      <c r="A794" s="227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</row>
    <row r="795" ht="15.75" customHeight="1">
      <c r="A795" s="227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</row>
    <row r="796" ht="15.75" customHeight="1">
      <c r="A796" s="227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</row>
    <row r="797" ht="15.75" customHeight="1">
      <c r="A797" s="227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</row>
    <row r="798" ht="15.75" customHeight="1">
      <c r="A798" s="227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</row>
    <row r="799" ht="15.75" customHeight="1">
      <c r="A799" s="227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</row>
    <row r="800" ht="15.75" customHeight="1">
      <c r="A800" s="227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</row>
    <row r="801" ht="15.75" customHeight="1">
      <c r="A801" s="227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</row>
    <row r="802" ht="15.75" customHeight="1">
      <c r="A802" s="227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</row>
    <row r="803" ht="15.75" customHeight="1">
      <c r="A803" s="227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</row>
    <row r="804" ht="15.75" customHeight="1">
      <c r="A804" s="227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</row>
    <row r="805" ht="15.75" customHeight="1">
      <c r="A805" s="227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</row>
    <row r="806" ht="15.75" customHeight="1">
      <c r="A806" s="227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</row>
    <row r="807" ht="15.75" customHeight="1">
      <c r="A807" s="227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</row>
    <row r="808" ht="15.75" customHeight="1">
      <c r="A808" s="227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</row>
    <row r="809" ht="15.75" customHeight="1">
      <c r="A809" s="227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</row>
    <row r="810" ht="15.75" customHeight="1">
      <c r="A810" s="227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</row>
    <row r="811" ht="15.75" customHeight="1">
      <c r="A811" s="227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</row>
    <row r="812" ht="15.75" customHeight="1">
      <c r="A812" s="227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</row>
    <row r="813" ht="15.75" customHeight="1">
      <c r="A813" s="227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</row>
    <row r="814" ht="15.75" customHeight="1">
      <c r="A814" s="227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</row>
    <row r="815" ht="15.75" customHeight="1">
      <c r="A815" s="227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</row>
    <row r="816" ht="15.75" customHeight="1">
      <c r="A816" s="227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</row>
    <row r="817" ht="15.75" customHeight="1">
      <c r="A817" s="227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</row>
    <row r="818" ht="15.75" customHeight="1">
      <c r="A818" s="227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</row>
    <row r="819" ht="15.75" customHeight="1">
      <c r="A819" s="227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</row>
    <row r="820" ht="15.75" customHeight="1">
      <c r="A820" s="227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</row>
    <row r="821" ht="15.75" customHeight="1">
      <c r="A821" s="227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</row>
    <row r="822" ht="15.75" customHeight="1">
      <c r="A822" s="227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</row>
    <row r="823" ht="15.75" customHeight="1">
      <c r="A823" s="227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</row>
    <row r="824" ht="15.75" customHeight="1">
      <c r="A824" s="227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</row>
    <row r="825" ht="15.75" customHeight="1">
      <c r="A825" s="227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</row>
    <row r="826" ht="15.75" customHeight="1">
      <c r="A826" s="227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</row>
    <row r="827" ht="15.75" customHeight="1">
      <c r="A827" s="227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</row>
    <row r="828" ht="15.75" customHeight="1">
      <c r="A828" s="227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</row>
    <row r="829" ht="15.75" customHeight="1">
      <c r="A829" s="227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</row>
    <row r="830" ht="15.75" customHeight="1">
      <c r="A830" s="227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</row>
    <row r="831" ht="15.75" customHeight="1">
      <c r="A831" s="227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</row>
    <row r="832" ht="15.75" customHeight="1">
      <c r="A832" s="227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</row>
    <row r="833" ht="15.75" customHeight="1">
      <c r="A833" s="227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</row>
    <row r="834" ht="15.75" customHeight="1">
      <c r="A834" s="227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</row>
    <row r="835" ht="15.75" customHeight="1">
      <c r="A835" s="227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</row>
    <row r="836" ht="15.75" customHeight="1">
      <c r="A836" s="227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</row>
    <row r="837" ht="15.75" customHeight="1">
      <c r="A837" s="227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</row>
    <row r="838" ht="15.75" customHeight="1">
      <c r="A838" s="227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</row>
    <row r="839" ht="15.75" customHeight="1">
      <c r="A839" s="227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</row>
    <row r="840" ht="15.75" customHeight="1">
      <c r="A840" s="227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</row>
    <row r="841" ht="15.75" customHeight="1">
      <c r="A841" s="227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</row>
    <row r="842" ht="15.75" customHeight="1">
      <c r="A842" s="227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</row>
    <row r="843" ht="15.75" customHeight="1">
      <c r="A843" s="227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</row>
    <row r="844" ht="15.75" customHeight="1">
      <c r="A844" s="227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</row>
    <row r="845" ht="15.75" customHeight="1">
      <c r="A845" s="227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</row>
    <row r="846" ht="15.75" customHeight="1">
      <c r="A846" s="227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</row>
    <row r="847" ht="15.75" customHeight="1">
      <c r="A847" s="227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</row>
    <row r="848" ht="15.75" customHeight="1">
      <c r="A848" s="227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</row>
    <row r="849" ht="15.75" customHeight="1">
      <c r="A849" s="227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</row>
    <row r="850" ht="15.75" customHeight="1">
      <c r="A850" s="227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</row>
    <row r="851" ht="15.75" customHeight="1">
      <c r="A851" s="227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</row>
    <row r="852" ht="15.75" customHeight="1">
      <c r="A852" s="227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</row>
    <row r="853" ht="15.75" customHeight="1">
      <c r="A853" s="227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</row>
    <row r="854" ht="15.75" customHeight="1">
      <c r="A854" s="227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</row>
    <row r="855" ht="15.75" customHeight="1">
      <c r="A855" s="227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</row>
    <row r="856" ht="15.75" customHeight="1">
      <c r="A856" s="227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</row>
    <row r="857" ht="15.75" customHeight="1">
      <c r="A857" s="227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</row>
    <row r="858" ht="15.75" customHeight="1">
      <c r="A858" s="227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</row>
    <row r="859" ht="15.75" customHeight="1">
      <c r="A859" s="227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</row>
    <row r="860" ht="15.75" customHeight="1">
      <c r="A860" s="227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</row>
    <row r="861" ht="15.75" customHeight="1">
      <c r="A861" s="227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</row>
    <row r="862" ht="15.75" customHeight="1">
      <c r="A862" s="227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</row>
    <row r="863" ht="15.75" customHeight="1">
      <c r="A863" s="227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</row>
    <row r="864" ht="15.75" customHeight="1">
      <c r="A864" s="227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</row>
    <row r="865" ht="15.75" customHeight="1">
      <c r="A865" s="227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</row>
    <row r="866" ht="15.75" customHeight="1">
      <c r="A866" s="227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</row>
    <row r="867" ht="15.75" customHeight="1">
      <c r="A867" s="227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</row>
    <row r="868" ht="15.75" customHeight="1">
      <c r="A868" s="227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</row>
    <row r="869" ht="15.75" customHeight="1">
      <c r="A869" s="227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</row>
    <row r="870" ht="15.75" customHeight="1">
      <c r="A870" s="227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</row>
    <row r="871" ht="15.75" customHeight="1">
      <c r="A871" s="227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</row>
    <row r="872" ht="15.75" customHeight="1">
      <c r="A872" s="227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</row>
    <row r="873" ht="15.75" customHeight="1">
      <c r="A873" s="227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</row>
    <row r="874" ht="15.75" customHeight="1">
      <c r="A874" s="227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</row>
    <row r="875" ht="15.75" customHeight="1">
      <c r="A875" s="227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</row>
    <row r="876" ht="15.75" customHeight="1">
      <c r="A876" s="227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</row>
    <row r="877" ht="15.75" customHeight="1">
      <c r="A877" s="227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</row>
    <row r="878" ht="15.75" customHeight="1">
      <c r="A878" s="227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</row>
    <row r="879" ht="15.75" customHeight="1">
      <c r="A879" s="227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</row>
    <row r="880" ht="15.75" customHeight="1">
      <c r="A880" s="227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</row>
    <row r="881" ht="15.75" customHeight="1">
      <c r="A881" s="227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</row>
    <row r="882" ht="15.75" customHeight="1">
      <c r="A882" s="227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</row>
    <row r="883" ht="15.75" customHeight="1">
      <c r="A883" s="227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</row>
    <row r="884" ht="15.75" customHeight="1">
      <c r="A884" s="227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</row>
    <row r="885" ht="15.75" customHeight="1">
      <c r="A885" s="227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</row>
    <row r="886" ht="15.75" customHeight="1">
      <c r="A886" s="227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</row>
    <row r="887" ht="15.75" customHeight="1">
      <c r="A887" s="227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</row>
    <row r="888" ht="15.75" customHeight="1">
      <c r="A888" s="227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</row>
    <row r="889" ht="15.75" customHeight="1">
      <c r="A889" s="227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</row>
    <row r="890" ht="15.75" customHeight="1">
      <c r="A890" s="227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</row>
    <row r="891" ht="15.75" customHeight="1">
      <c r="A891" s="227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</row>
    <row r="892" ht="15.75" customHeight="1">
      <c r="A892" s="227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</row>
    <row r="893" ht="15.75" customHeight="1">
      <c r="A893" s="227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</row>
    <row r="894" ht="15.75" customHeight="1">
      <c r="A894" s="227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</row>
    <row r="895" ht="15.75" customHeight="1">
      <c r="A895" s="227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</row>
    <row r="896" ht="15.75" customHeight="1">
      <c r="A896" s="227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</row>
    <row r="897" ht="15.75" customHeight="1">
      <c r="A897" s="227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</row>
    <row r="898" ht="15.75" customHeight="1">
      <c r="A898" s="227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</row>
    <row r="899" ht="15.75" customHeight="1">
      <c r="A899" s="227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</row>
    <row r="900" ht="15.75" customHeight="1">
      <c r="A900" s="227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</row>
    <row r="901" ht="15.75" customHeight="1">
      <c r="A901" s="227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</row>
    <row r="902" ht="15.75" customHeight="1">
      <c r="A902" s="227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</row>
    <row r="903" ht="15.75" customHeight="1">
      <c r="A903" s="227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</row>
    <row r="904" ht="15.75" customHeight="1">
      <c r="A904" s="227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</row>
    <row r="905" ht="15.75" customHeight="1">
      <c r="A905" s="227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</row>
    <row r="906" ht="15.75" customHeight="1">
      <c r="A906" s="227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</row>
    <row r="907" ht="15.75" customHeight="1">
      <c r="A907" s="227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</row>
    <row r="908" ht="15.75" customHeight="1">
      <c r="A908" s="227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</row>
    <row r="909" ht="15.75" customHeight="1">
      <c r="A909" s="227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</row>
    <row r="910" ht="15.75" customHeight="1">
      <c r="A910" s="227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</row>
    <row r="911" ht="15.75" customHeight="1">
      <c r="A911" s="227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</row>
    <row r="912" ht="15.75" customHeight="1">
      <c r="A912" s="227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</row>
    <row r="913" ht="15.75" customHeight="1">
      <c r="A913" s="227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</row>
    <row r="914" ht="15.75" customHeight="1">
      <c r="A914" s="227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</row>
    <row r="915" ht="15.75" customHeight="1">
      <c r="A915" s="227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</row>
    <row r="916" ht="15.75" customHeight="1">
      <c r="A916" s="227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</row>
    <row r="917" ht="15.75" customHeight="1">
      <c r="A917" s="227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</row>
    <row r="918" ht="15.75" customHeight="1">
      <c r="A918" s="227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</row>
    <row r="919" ht="15.75" customHeight="1">
      <c r="A919" s="227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</row>
    <row r="920" ht="15.75" customHeight="1">
      <c r="A920" s="227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</row>
    <row r="921" ht="15.75" customHeight="1">
      <c r="A921" s="227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</row>
    <row r="922" ht="15.75" customHeight="1">
      <c r="A922" s="227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</row>
    <row r="923" ht="15.75" customHeight="1">
      <c r="A923" s="227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</row>
    <row r="924" ht="15.75" customHeight="1">
      <c r="A924" s="227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</row>
    <row r="925" ht="15.75" customHeight="1">
      <c r="A925" s="227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</row>
    <row r="926" ht="15.75" customHeight="1">
      <c r="A926" s="227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</row>
    <row r="927" ht="15.75" customHeight="1">
      <c r="A927" s="227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</row>
    <row r="928" ht="15.75" customHeight="1">
      <c r="A928" s="227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</row>
    <row r="929" ht="15.75" customHeight="1">
      <c r="A929" s="227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</row>
    <row r="930" ht="15.75" customHeight="1">
      <c r="A930" s="227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</row>
    <row r="931" ht="15.75" customHeight="1">
      <c r="A931" s="227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</row>
    <row r="932" ht="15.75" customHeight="1">
      <c r="A932" s="227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</row>
    <row r="933" ht="15.75" customHeight="1">
      <c r="A933" s="227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</row>
    <row r="934" ht="15.75" customHeight="1">
      <c r="A934" s="227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</row>
    <row r="935" ht="15.75" customHeight="1">
      <c r="A935" s="227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</row>
    <row r="936" ht="15.75" customHeight="1">
      <c r="A936" s="227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</row>
    <row r="937" ht="15.75" customHeight="1">
      <c r="A937" s="227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</row>
    <row r="938" ht="15.75" customHeight="1">
      <c r="A938" s="227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</row>
    <row r="939" ht="15.75" customHeight="1">
      <c r="A939" s="227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</row>
    <row r="940" ht="15.75" customHeight="1">
      <c r="A940" s="227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</row>
    <row r="941" ht="15.75" customHeight="1">
      <c r="A941" s="227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</row>
    <row r="942" ht="15.75" customHeight="1">
      <c r="A942" s="227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</row>
    <row r="943" ht="15.75" customHeight="1">
      <c r="A943" s="227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</row>
    <row r="944" ht="15.75" customHeight="1">
      <c r="A944" s="227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</row>
    <row r="945" ht="15.75" customHeight="1">
      <c r="A945" s="227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</row>
    <row r="946" ht="15.75" customHeight="1">
      <c r="A946" s="227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</row>
    <row r="947" ht="15.75" customHeight="1">
      <c r="A947" s="227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</row>
    <row r="948" ht="15.75" customHeight="1">
      <c r="A948" s="227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</row>
    <row r="949" ht="15.75" customHeight="1">
      <c r="A949" s="227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</row>
    <row r="950" ht="15.75" customHeight="1">
      <c r="A950" s="227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</row>
    <row r="951" ht="15.75" customHeight="1">
      <c r="A951" s="227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</row>
    <row r="952" ht="15.75" customHeight="1">
      <c r="A952" s="227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</row>
    <row r="953" ht="15.75" customHeight="1">
      <c r="A953" s="227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</row>
    <row r="954" ht="15.75" customHeight="1">
      <c r="A954" s="227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</row>
    <row r="955" ht="15.75" customHeight="1">
      <c r="A955" s="227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</row>
    <row r="956" ht="15.75" customHeight="1">
      <c r="A956" s="227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</row>
    <row r="957" ht="15.75" customHeight="1">
      <c r="A957" s="227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</row>
    <row r="958" ht="15.75" customHeight="1">
      <c r="A958" s="227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</row>
    <row r="959" ht="15.75" customHeight="1">
      <c r="A959" s="227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</row>
    <row r="960" ht="15.75" customHeight="1">
      <c r="A960" s="227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</row>
    <row r="961" ht="15.75" customHeight="1">
      <c r="A961" s="227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</row>
    <row r="962" ht="15.75" customHeight="1">
      <c r="A962" s="227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</row>
    <row r="963" ht="15.75" customHeight="1">
      <c r="A963" s="227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</row>
    <row r="964" ht="15.75" customHeight="1">
      <c r="A964" s="227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</row>
    <row r="965" ht="15.75" customHeight="1">
      <c r="A965" s="227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</row>
    <row r="966" ht="15.75" customHeight="1">
      <c r="A966" s="227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</row>
    <row r="967" ht="15.75" customHeight="1">
      <c r="A967" s="227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</row>
    <row r="968" ht="15.75" customHeight="1">
      <c r="A968" s="227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</row>
    <row r="969" ht="15.75" customHeight="1">
      <c r="A969" s="227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</row>
    <row r="970" ht="15.75" customHeight="1">
      <c r="A970" s="227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</row>
    <row r="971" ht="15.75" customHeight="1">
      <c r="A971" s="227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</row>
    <row r="972" ht="15.75" customHeight="1">
      <c r="A972" s="227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</row>
    <row r="973" ht="15.75" customHeight="1">
      <c r="A973" s="227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</row>
    <row r="974" ht="15.75" customHeight="1">
      <c r="A974" s="227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</row>
    <row r="975" ht="15.75" customHeight="1">
      <c r="A975" s="227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</row>
    <row r="976" ht="15.75" customHeight="1">
      <c r="A976" s="227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</row>
    <row r="977" ht="15.75" customHeight="1">
      <c r="A977" s="227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</row>
    <row r="978" ht="15.75" customHeight="1">
      <c r="A978" s="227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</row>
    <row r="979" ht="15.75" customHeight="1">
      <c r="A979" s="227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</row>
    <row r="980" ht="15.75" customHeight="1">
      <c r="A980" s="227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</row>
    <row r="981" ht="15.75" customHeight="1">
      <c r="A981" s="227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</row>
    <row r="982" ht="15.75" customHeight="1">
      <c r="A982" s="227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</row>
    <row r="983" ht="15.75" customHeight="1">
      <c r="A983" s="227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</row>
    <row r="984" ht="15.75" customHeight="1">
      <c r="A984" s="227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</row>
    <row r="985" ht="15.75" customHeight="1">
      <c r="A985" s="227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</row>
    <row r="986" ht="15.75" customHeight="1">
      <c r="A986" s="227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</row>
    <row r="987" ht="15.75" customHeight="1">
      <c r="A987" s="227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</row>
    <row r="988" ht="15.75" customHeight="1">
      <c r="A988" s="227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</row>
    <row r="989" ht="15.75" customHeight="1">
      <c r="A989" s="227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</row>
    <row r="990" ht="15.75" customHeight="1">
      <c r="A990" s="227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</row>
    <row r="991" ht="15.75" customHeight="1">
      <c r="A991" s="227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</row>
    <row r="992" ht="15.75" customHeight="1">
      <c r="A992" s="227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</row>
    <row r="993" ht="15.75" customHeight="1">
      <c r="A993" s="227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</row>
    <row r="994" ht="15.75" customHeight="1">
      <c r="A994" s="227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</row>
    <row r="995" ht="15.75" customHeight="1">
      <c r="A995" s="227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</row>
    <row r="996" ht="15.75" customHeight="1">
      <c r="A996" s="227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</row>
  </sheetData>
  <mergeCells count="241">
    <mergeCell ref="X29:AQ29"/>
    <mergeCell ref="Y30:AQ30"/>
    <mergeCell ref="AQ32:AQ33"/>
    <mergeCell ref="AU33:AU34"/>
    <mergeCell ref="A34:T34"/>
    <mergeCell ref="B35:J35"/>
    <mergeCell ref="K35:T35"/>
    <mergeCell ref="Y16:AG16"/>
    <mergeCell ref="AJ16:AQ16"/>
    <mergeCell ref="A23:T23"/>
    <mergeCell ref="B24:J24"/>
    <mergeCell ref="K24:T24"/>
    <mergeCell ref="T25:T26"/>
    <mergeCell ref="X30:X31"/>
    <mergeCell ref="Y31:AG31"/>
    <mergeCell ref="AJ31:AQ31"/>
    <mergeCell ref="AU32:BO32"/>
    <mergeCell ref="AV33:BO33"/>
    <mergeCell ref="AV34:BD34"/>
    <mergeCell ref="BG34:BO34"/>
    <mergeCell ref="T36:T37"/>
    <mergeCell ref="X37:AQ37"/>
    <mergeCell ref="X38:AQ38"/>
    <mergeCell ref="X39:X40"/>
    <mergeCell ref="Y39:AQ39"/>
    <mergeCell ref="Y40:AG40"/>
    <mergeCell ref="AJ40:AQ40"/>
    <mergeCell ref="AU41:BN41"/>
    <mergeCell ref="A1:T2"/>
    <mergeCell ref="X1:AO3"/>
    <mergeCell ref="AU1:BN2"/>
    <mergeCell ref="A3:T3"/>
    <mergeCell ref="AU3:BN3"/>
    <mergeCell ref="B4:J4"/>
    <mergeCell ref="K4:T4"/>
    <mergeCell ref="AV4:BN4"/>
    <mergeCell ref="X4:AQ4"/>
    <mergeCell ref="AU4:AU5"/>
    <mergeCell ref="T5:T6"/>
    <mergeCell ref="X5:X6"/>
    <mergeCell ref="Y5:AQ5"/>
    <mergeCell ref="AV5:BD5"/>
    <mergeCell ref="BG5:BN5"/>
    <mergeCell ref="BN6:BN7"/>
    <mergeCell ref="X14:AQ14"/>
    <mergeCell ref="Y15:AQ15"/>
    <mergeCell ref="Y6:AG6"/>
    <mergeCell ref="AJ6:AQ6"/>
    <mergeCell ref="X13:AQ13"/>
    <mergeCell ref="AU13:BN13"/>
    <mergeCell ref="AU14:AU15"/>
    <mergeCell ref="AV14:BN14"/>
    <mergeCell ref="X15:X16"/>
    <mergeCell ref="BN16:BN17"/>
    <mergeCell ref="BN25:BN26"/>
    <mergeCell ref="BN35:BN36"/>
    <mergeCell ref="BN44:BN45"/>
    <mergeCell ref="AV15:BD15"/>
    <mergeCell ref="BG15:BN15"/>
    <mergeCell ref="AU22:BN22"/>
    <mergeCell ref="AU23:AU24"/>
    <mergeCell ref="AV23:BN23"/>
    <mergeCell ref="AV24:BD24"/>
    <mergeCell ref="BG24:BN24"/>
    <mergeCell ref="AQ41:AQ42"/>
    <mergeCell ref="AU42:AU43"/>
    <mergeCell ref="AV42:BN42"/>
    <mergeCell ref="AV43:BD43"/>
    <mergeCell ref="BG43:BN43"/>
    <mergeCell ref="A45:T45"/>
    <mergeCell ref="B46:J46"/>
    <mergeCell ref="X51:AE52"/>
    <mergeCell ref="AU52:BM52"/>
    <mergeCell ref="AU53:BM53"/>
    <mergeCell ref="AO50:AO52"/>
    <mergeCell ref="AO53:AP53"/>
    <mergeCell ref="AO55:AP55"/>
    <mergeCell ref="AQ60:AQ61"/>
    <mergeCell ref="AQ62:AQ63"/>
    <mergeCell ref="K46:T46"/>
    <mergeCell ref="X46:AQ46"/>
    <mergeCell ref="T47:T48"/>
    <mergeCell ref="X48:AO48"/>
    <mergeCell ref="X49:AO49"/>
    <mergeCell ref="X50:AN50"/>
    <mergeCell ref="X53:AE53"/>
    <mergeCell ref="AU55:BB56"/>
    <mergeCell ref="AU57:BB57"/>
    <mergeCell ref="AU58:BB58"/>
    <mergeCell ref="BL58:BM58"/>
    <mergeCell ref="BL59:BM59"/>
    <mergeCell ref="AU61:BD61"/>
    <mergeCell ref="AW62:BC62"/>
    <mergeCell ref="AU63:AU64"/>
    <mergeCell ref="X54:AE54"/>
    <mergeCell ref="AO54:AP54"/>
    <mergeCell ref="AU54:BM54"/>
    <mergeCell ref="BL55:BM56"/>
    <mergeCell ref="A56:T56"/>
    <mergeCell ref="B57:J57"/>
    <mergeCell ref="BL57:BM57"/>
    <mergeCell ref="AA62:AA63"/>
    <mergeCell ref="AB62:AB63"/>
    <mergeCell ref="A64:T64"/>
    <mergeCell ref="B65:J65"/>
    <mergeCell ref="K65:T65"/>
    <mergeCell ref="AC62:AC63"/>
    <mergeCell ref="AD62:AD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K57:T57"/>
    <mergeCell ref="X58:AP59"/>
    <mergeCell ref="Y60:AF60"/>
    <mergeCell ref="AG60:AP60"/>
    <mergeCell ref="X62:X63"/>
    <mergeCell ref="Y62:Y63"/>
    <mergeCell ref="Z62:Z63"/>
    <mergeCell ref="AE62:AE63"/>
    <mergeCell ref="AF62:AF63"/>
    <mergeCell ref="T66:T67"/>
    <mergeCell ref="A74:T74"/>
    <mergeCell ref="B75:J75"/>
    <mergeCell ref="K75:T75"/>
    <mergeCell ref="T76:T77"/>
    <mergeCell ref="Q90:R90"/>
    <mergeCell ref="Q91:R91"/>
    <mergeCell ref="Q88:R89"/>
    <mergeCell ref="Q92:R92"/>
    <mergeCell ref="Q93:R93"/>
    <mergeCell ref="A83:T84"/>
    <mergeCell ref="E87:R87"/>
    <mergeCell ref="E88:G89"/>
    <mergeCell ref="E90:G90"/>
    <mergeCell ref="E91:G91"/>
    <mergeCell ref="E92:G92"/>
    <mergeCell ref="A96:R96"/>
    <mergeCell ref="B97:R97"/>
    <mergeCell ref="B98:R98"/>
    <mergeCell ref="B99:R99"/>
    <mergeCell ref="B100:Q100"/>
    <mergeCell ref="B101:Q101"/>
    <mergeCell ref="B102:Q102"/>
    <mergeCell ref="Q103:R103"/>
    <mergeCell ref="A106:S106"/>
    <mergeCell ref="B107:R107"/>
    <mergeCell ref="S107:S109"/>
    <mergeCell ref="B108:J108"/>
    <mergeCell ref="K108:R108"/>
    <mergeCell ref="B109:J109"/>
    <mergeCell ref="K109:R109"/>
    <mergeCell ref="A88:A89"/>
    <mergeCell ref="A97:A99"/>
    <mergeCell ref="A119:A120"/>
    <mergeCell ref="B119:B120"/>
    <mergeCell ref="C119:C120"/>
    <mergeCell ref="D119:D120"/>
    <mergeCell ref="E119:E120"/>
    <mergeCell ref="T117:T118"/>
    <mergeCell ref="O119:O120"/>
    <mergeCell ref="P119:P120"/>
    <mergeCell ref="Q119:Q120"/>
    <mergeCell ref="R119:R120"/>
    <mergeCell ref="S119:S120"/>
    <mergeCell ref="T119:T120"/>
    <mergeCell ref="B110:J110"/>
    <mergeCell ref="K110:R110"/>
    <mergeCell ref="B111:J111"/>
    <mergeCell ref="K111:R111"/>
    <mergeCell ref="A115:S116"/>
    <mergeCell ref="B117:I117"/>
    <mergeCell ref="J117:S117"/>
    <mergeCell ref="A165:B165"/>
    <mergeCell ref="C165:K165"/>
    <mergeCell ref="A166:B166"/>
    <mergeCell ref="C166:K166"/>
    <mergeCell ref="A167:B167"/>
    <mergeCell ref="C167:K167"/>
    <mergeCell ref="C168:K168"/>
    <mergeCell ref="C173:K173"/>
    <mergeCell ref="A176:R176"/>
    <mergeCell ref="A177:R177"/>
    <mergeCell ref="A178:Q178"/>
    <mergeCell ref="A179:H180"/>
    <mergeCell ref="A181:H181"/>
    <mergeCell ref="A182:H182"/>
    <mergeCell ref="A183:H183"/>
    <mergeCell ref="C169:K169"/>
    <mergeCell ref="C170:K170"/>
    <mergeCell ref="A171:B171"/>
    <mergeCell ref="C171:K171"/>
    <mergeCell ref="A172:B172"/>
    <mergeCell ref="C172:K172"/>
    <mergeCell ref="A173:B173"/>
    <mergeCell ref="M119:M120"/>
    <mergeCell ref="N119:N120"/>
    <mergeCell ref="F119:F120"/>
    <mergeCell ref="G119:G120"/>
    <mergeCell ref="H119:H120"/>
    <mergeCell ref="I119:I120"/>
    <mergeCell ref="J119:J120"/>
    <mergeCell ref="K119:K120"/>
    <mergeCell ref="L119:L120"/>
    <mergeCell ref="A126:K126"/>
    <mergeCell ref="A130:T131"/>
    <mergeCell ref="A134:T134"/>
    <mergeCell ref="A135:J135"/>
    <mergeCell ref="A136:A137"/>
    <mergeCell ref="J136:J137"/>
    <mergeCell ref="A141:T141"/>
    <mergeCell ref="B142:J142"/>
    <mergeCell ref="K142:T142"/>
    <mergeCell ref="A143:A144"/>
    <mergeCell ref="T143:T144"/>
    <mergeCell ref="A150:L150"/>
    <mergeCell ref="C151:L151"/>
    <mergeCell ref="C152:L152"/>
    <mergeCell ref="A153:B153"/>
    <mergeCell ref="C153:K153"/>
    <mergeCell ref="A154:B154"/>
    <mergeCell ref="C154:K154"/>
    <mergeCell ref="A155:B155"/>
    <mergeCell ref="C155:K155"/>
    <mergeCell ref="A156:B156"/>
    <mergeCell ref="A160:L160"/>
    <mergeCell ref="C161:L161"/>
    <mergeCell ref="C162:L162"/>
    <mergeCell ref="A163:B163"/>
    <mergeCell ref="C163:K163"/>
    <mergeCell ref="A164:B164"/>
    <mergeCell ref="C164:K164"/>
    <mergeCell ref="A168:B168"/>
    <mergeCell ref="A169:B169"/>
    <mergeCell ref="A170:B170"/>
  </mergeCells>
  <conditionalFormatting sqref="B128:J128">
    <cfRule type="cellIs" dxfId="1" priority="1" operator="lessThan">
      <formula>3</formula>
    </cfRule>
  </conditionalFormatting>
  <conditionalFormatting sqref="B7:T19">
    <cfRule type="cellIs" dxfId="0" priority="2" operator="lessThan">
      <formula>3</formula>
    </cfRule>
  </conditionalFormatting>
  <conditionalFormatting sqref="Y9:AQ11 AV18:BM19 Y19:AP25 AV37:BM38 AF53:AN54 BC57:BK58">
    <cfRule type="cellIs" dxfId="0" priority="3" operator="lessThan">
      <formula>2</formula>
    </cfRule>
  </conditionalFormatting>
  <conditionalFormatting sqref="Y34:AP35 Y43:AP44 Y62:AP62 B119:S119">
    <cfRule type="cellIs" dxfId="0" priority="4" operator="lessThan">
      <formula>2</formula>
    </cfRule>
  </conditionalFormatting>
  <conditionalFormatting sqref="AV65:BE69">
    <cfRule type="cellIs" dxfId="0" priority="5" operator="lessThan">
      <formula>2</formula>
    </cfRule>
  </conditionalFormatting>
  <conditionalFormatting sqref="AV46:BN49">
    <cfRule type="cellIs" dxfId="0" priority="6" operator="lessThan">
      <formula>2</formula>
    </cfRule>
  </conditionalFormatting>
  <conditionalFormatting sqref="AV27:BN28">
    <cfRule type="cellIs" dxfId="0" priority="7" operator="lessThan">
      <formula>2</formula>
    </cfRule>
  </conditionalFormatting>
  <conditionalFormatting sqref="AV8:BM10">
    <cfRule type="cellIs" dxfId="0" priority="8" operator="lessThan">
      <formula>2</formula>
    </cfRule>
  </conditionalFormatting>
  <conditionalFormatting sqref="B100:R102">
    <cfRule type="cellIs" dxfId="0" priority="9" operator="lessThan">
      <formula>2</formula>
    </cfRule>
  </conditionalFormatting>
  <conditionalFormatting sqref="B110:S111">
    <cfRule type="cellIs" dxfId="0" priority="10" operator="lessThan">
      <formula>2</formula>
    </cfRule>
  </conditionalFormatting>
  <conditionalFormatting sqref="B145:T145">
    <cfRule type="cellIs" dxfId="0" priority="11" operator="lessThan">
      <formula>2</formula>
    </cfRule>
  </conditionalFormatting>
  <conditionalFormatting sqref="B138:J138">
    <cfRule type="cellIs" dxfId="0" priority="12" operator="lessThan">
      <formula>2</formula>
    </cfRule>
  </conditionalFormatting>
  <conditionalFormatting sqref="C154:L155">
    <cfRule type="cellIs" dxfId="0" priority="13" operator="lessThan">
      <formula>2</formula>
    </cfRule>
  </conditionalFormatting>
  <conditionalFormatting sqref="C164:K173">
    <cfRule type="cellIs" dxfId="0" priority="14" operator="lessThan">
      <formula>2</formula>
    </cfRule>
  </conditionalFormatting>
  <conditionalFormatting sqref="I181:R183">
    <cfRule type="cellIs" dxfId="0" priority="15" operator="lessThan">
      <formula>2</formula>
    </cfRule>
  </conditionalFormatting>
  <conditionalFormatting sqref="H90:R92">
    <cfRule type="cellIs" dxfId="0" priority="16" operator="lessThan">
      <formula>2</formula>
    </cfRule>
  </conditionalFormatting>
  <conditionalFormatting sqref="B78:T80">
    <cfRule type="cellIs" dxfId="0" priority="17" operator="lessThan">
      <formula>2</formula>
    </cfRule>
  </conditionalFormatting>
  <conditionalFormatting sqref="B68:T69">
    <cfRule type="cellIs" dxfId="0" priority="18" operator="lessThan">
      <formula>2</formula>
    </cfRule>
  </conditionalFormatting>
  <conditionalFormatting sqref="B59:T59">
    <cfRule type="cellIs" dxfId="0" priority="19" operator="lessThan">
      <formula>2</formula>
    </cfRule>
  </conditionalFormatting>
  <conditionalFormatting sqref="B49:T53">
    <cfRule type="cellIs" dxfId="0" priority="20" operator="lessThan">
      <formula>2</formula>
    </cfRule>
  </conditionalFormatting>
  <conditionalFormatting sqref="B38:S41">
    <cfRule type="cellIs" dxfId="0" priority="21" operator="lessThan">
      <formula>2</formula>
    </cfRule>
  </conditionalFormatting>
  <conditionalFormatting sqref="B27:S31">
    <cfRule type="cellIs" dxfId="0" priority="22" operator="lessThan">
      <formula>2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29"/>
    <col customWidth="1" min="3" max="11" width="5.43"/>
    <col customWidth="1" min="12" max="14" width="11.43"/>
    <col customWidth="1" min="15" max="26" width="10.71"/>
  </cols>
  <sheetData>
    <row r="1" ht="14.25" customHeight="1">
      <c r="A1" s="289" t="s">
        <v>136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290"/>
    </row>
    <row r="2" ht="31.5" customHeight="1">
      <c r="A2" s="291"/>
      <c r="B2" s="292" t="s">
        <v>137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290"/>
    </row>
    <row r="3" ht="14.25" customHeight="1">
      <c r="A3" s="291"/>
      <c r="B3" s="293" t="s">
        <v>43</v>
      </c>
      <c r="C3" s="56"/>
      <c r="D3" s="56"/>
      <c r="E3" s="56"/>
      <c r="F3" s="56"/>
      <c r="G3" s="56"/>
      <c r="H3" s="56"/>
      <c r="I3" s="56"/>
      <c r="J3" s="57"/>
      <c r="K3" s="294"/>
      <c r="L3" s="295"/>
      <c r="M3" s="295"/>
      <c r="O3" s="290"/>
    </row>
    <row r="4" ht="14.25" customHeight="1">
      <c r="A4" s="296" t="s">
        <v>3</v>
      </c>
      <c r="B4" s="297" t="s">
        <v>4</v>
      </c>
      <c r="C4" s="298" t="s">
        <v>5</v>
      </c>
      <c r="D4" s="298" t="s">
        <v>6</v>
      </c>
      <c r="E4" s="298" t="s">
        <v>7</v>
      </c>
      <c r="F4" s="298" t="s">
        <v>8</v>
      </c>
      <c r="G4" s="298" t="s">
        <v>9</v>
      </c>
      <c r="H4" s="298" t="s">
        <v>10</v>
      </c>
      <c r="I4" s="298" t="s">
        <v>11</v>
      </c>
      <c r="J4" s="298" t="s">
        <v>12</v>
      </c>
      <c r="K4" s="299"/>
      <c r="L4" s="299"/>
      <c r="M4" s="299"/>
      <c r="O4" s="290"/>
    </row>
    <row r="5" ht="14.25" customHeight="1">
      <c r="A5" s="300" t="s">
        <v>13</v>
      </c>
      <c r="B5" s="48">
        <f t="shared" ref="B5:B7" si="2">0</f>
        <v>0</v>
      </c>
      <c r="C5" s="301">
        <f>1</f>
        <v>1</v>
      </c>
      <c r="D5" s="301">
        <f>6</f>
        <v>6</v>
      </c>
      <c r="E5" s="301">
        <f>1</f>
        <v>1</v>
      </c>
      <c r="F5" s="48">
        <f t="shared" ref="F5:J5" si="1">0</f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302">
        <f t="shared" ref="K5:K10" si="5">SUM(B5:J5)</f>
        <v>8</v>
      </c>
      <c r="L5" s="299"/>
      <c r="M5" s="299"/>
      <c r="O5" s="290"/>
    </row>
    <row r="6" ht="14.25" customHeight="1">
      <c r="A6" s="300" t="s">
        <v>14</v>
      </c>
      <c r="B6" s="48">
        <f t="shared" si="2"/>
        <v>0</v>
      </c>
      <c r="C6" s="301">
        <f>3</f>
        <v>3</v>
      </c>
      <c r="D6" s="48">
        <f t="shared" ref="D6:G6" si="3">0</f>
        <v>0</v>
      </c>
      <c r="E6" s="48">
        <f t="shared" si="3"/>
        <v>0</v>
      </c>
      <c r="F6" s="48">
        <f t="shared" si="3"/>
        <v>0</v>
      </c>
      <c r="G6" s="48">
        <f t="shared" si="3"/>
        <v>0</v>
      </c>
      <c r="H6" s="303">
        <f>1</f>
        <v>1</v>
      </c>
      <c r="I6" s="48">
        <f t="shared" ref="I6:J6" si="4">0</f>
        <v>0</v>
      </c>
      <c r="J6" s="48">
        <f t="shared" si="4"/>
        <v>0</v>
      </c>
      <c r="K6" s="302">
        <f t="shared" si="5"/>
        <v>4</v>
      </c>
      <c r="L6" s="299"/>
      <c r="M6" s="299"/>
      <c r="O6" s="290"/>
    </row>
    <row r="7" ht="14.25" customHeight="1">
      <c r="A7" s="300" t="s">
        <v>44</v>
      </c>
      <c r="B7" s="48">
        <f t="shared" si="2"/>
        <v>0</v>
      </c>
      <c r="C7" s="301">
        <f>1</f>
        <v>1</v>
      </c>
      <c r="D7" s="48">
        <f>0</f>
        <v>0</v>
      </c>
      <c r="E7" s="301">
        <f>2</f>
        <v>2</v>
      </c>
      <c r="F7" s="48">
        <f>0</f>
        <v>0</v>
      </c>
      <c r="G7" s="303">
        <f>1</f>
        <v>1</v>
      </c>
      <c r="H7" s="48">
        <f t="shared" ref="H7:J7" si="6">0</f>
        <v>0</v>
      </c>
      <c r="I7" s="48">
        <f t="shared" si="6"/>
        <v>0</v>
      </c>
      <c r="J7" s="48">
        <f t="shared" si="6"/>
        <v>0</v>
      </c>
      <c r="K7" s="302">
        <f t="shared" si="5"/>
        <v>4</v>
      </c>
      <c r="L7" s="299"/>
      <c r="M7" s="299"/>
      <c r="O7" s="290"/>
    </row>
    <row r="8" ht="14.25" customHeight="1">
      <c r="A8" s="300" t="s">
        <v>16</v>
      </c>
      <c r="B8" s="301">
        <f>2</f>
        <v>2</v>
      </c>
      <c r="C8" s="48">
        <f t="shared" ref="C8:E8" si="7">0</f>
        <v>0</v>
      </c>
      <c r="D8" s="48">
        <f t="shared" si="7"/>
        <v>0</v>
      </c>
      <c r="E8" s="48">
        <f t="shared" si="7"/>
        <v>0</v>
      </c>
      <c r="F8" s="303">
        <f>1</f>
        <v>1</v>
      </c>
      <c r="G8" s="48">
        <f t="shared" ref="G8:H8" si="8">0</f>
        <v>0</v>
      </c>
      <c r="H8" s="48">
        <f t="shared" si="8"/>
        <v>0</v>
      </c>
      <c r="I8" s="303">
        <f>1</f>
        <v>1</v>
      </c>
      <c r="J8" s="48">
        <f>0</f>
        <v>0</v>
      </c>
      <c r="K8" s="302">
        <f t="shared" si="5"/>
        <v>4</v>
      </c>
      <c r="L8" s="299" t="s">
        <v>60</v>
      </c>
      <c r="M8" s="299"/>
      <c r="O8" s="290"/>
    </row>
    <row r="9" ht="14.25" customHeight="1">
      <c r="A9" s="300" t="s">
        <v>138</v>
      </c>
      <c r="B9" s="303">
        <f>1</f>
        <v>1</v>
      </c>
      <c r="C9" s="48">
        <f t="shared" ref="C9:D9" si="9">0</f>
        <v>0</v>
      </c>
      <c r="D9" s="48">
        <f t="shared" si="9"/>
        <v>0</v>
      </c>
      <c r="E9" s="303">
        <f>1-1</f>
        <v>0</v>
      </c>
      <c r="F9" s="48">
        <f t="shared" ref="F9:J9" si="10">0</f>
        <v>0</v>
      </c>
      <c r="G9" s="48">
        <f t="shared" si="10"/>
        <v>0</v>
      </c>
      <c r="H9" s="48">
        <f t="shared" si="10"/>
        <v>0</v>
      </c>
      <c r="I9" s="48">
        <f t="shared" si="10"/>
        <v>0</v>
      </c>
      <c r="J9" s="48">
        <f t="shared" si="10"/>
        <v>0</v>
      </c>
      <c r="K9" s="302">
        <f t="shared" si="5"/>
        <v>1</v>
      </c>
      <c r="L9" s="299"/>
      <c r="M9" s="299"/>
      <c r="O9" s="290"/>
    </row>
    <row r="10" ht="14.25" customHeight="1">
      <c r="A10" s="300" t="s">
        <v>41</v>
      </c>
      <c r="B10" s="48">
        <f t="shared" ref="B10:C10" si="11">0</f>
        <v>0</v>
      </c>
      <c r="C10" s="48">
        <f t="shared" si="11"/>
        <v>0</v>
      </c>
      <c r="D10" s="303">
        <f t="shared" ref="D10:E10" si="12">1</f>
        <v>1</v>
      </c>
      <c r="E10" s="303">
        <f t="shared" si="12"/>
        <v>1</v>
      </c>
      <c r="F10" s="48">
        <f t="shared" ref="F10:I10" si="13">0</f>
        <v>0</v>
      </c>
      <c r="G10" s="48">
        <f t="shared" si="13"/>
        <v>0</v>
      </c>
      <c r="H10" s="48">
        <f t="shared" si="13"/>
        <v>0</v>
      </c>
      <c r="I10" s="48">
        <f t="shared" si="13"/>
        <v>0</v>
      </c>
      <c r="J10" s="303">
        <f>1</f>
        <v>1</v>
      </c>
      <c r="K10" s="302">
        <f t="shared" si="5"/>
        <v>3</v>
      </c>
      <c r="L10" s="299"/>
      <c r="M10" s="299"/>
      <c r="O10" s="290"/>
    </row>
    <row r="11" ht="14.25" customHeight="1">
      <c r="A11" s="119"/>
      <c r="B11" s="304"/>
      <c r="C11" s="304"/>
      <c r="D11" s="304"/>
      <c r="E11" s="304"/>
      <c r="F11" s="304"/>
      <c r="G11" s="304"/>
      <c r="H11" s="304"/>
      <c r="I11" s="304"/>
      <c r="J11" s="304"/>
      <c r="K11" s="305">
        <f>SUM(K5:K10)</f>
        <v>24</v>
      </c>
      <c r="L11" s="299"/>
      <c r="M11" s="299"/>
      <c r="O11" s="290"/>
    </row>
    <row r="12" ht="14.25" customHeight="1">
      <c r="A12" s="306"/>
      <c r="B12" s="119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290"/>
    </row>
    <row r="13" ht="32.25" customHeight="1">
      <c r="A13" s="291"/>
      <c r="B13" s="292" t="s">
        <v>139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O13" s="290"/>
    </row>
    <row r="14" ht="14.25" customHeight="1">
      <c r="A14" s="291"/>
      <c r="B14" s="293" t="s">
        <v>43</v>
      </c>
      <c r="C14" s="56"/>
      <c r="D14" s="56"/>
      <c r="E14" s="56"/>
      <c r="F14" s="56"/>
      <c r="G14" s="56"/>
      <c r="H14" s="56"/>
      <c r="I14" s="56"/>
      <c r="J14" s="57"/>
      <c r="K14" s="294"/>
      <c r="L14" s="295"/>
      <c r="M14" s="295"/>
      <c r="O14" s="290"/>
    </row>
    <row r="15" ht="14.25" customHeight="1">
      <c r="A15" s="296" t="s">
        <v>3</v>
      </c>
      <c r="B15" s="308" t="s">
        <v>4</v>
      </c>
      <c r="C15" s="309" t="s">
        <v>5</v>
      </c>
      <c r="D15" s="309" t="s">
        <v>6</v>
      </c>
      <c r="E15" s="309" t="s">
        <v>7</v>
      </c>
      <c r="F15" s="309" t="s">
        <v>8</v>
      </c>
      <c r="G15" s="309" t="s">
        <v>9</v>
      </c>
      <c r="H15" s="309" t="s">
        <v>10</v>
      </c>
      <c r="I15" s="309" t="s">
        <v>11</v>
      </c>
      <c r="J15" s="309" t="s">
        <v>12</v>
      </c>
      <c r="K15" s="299"/>
      <c r="L15" s="299"/>
      <c r="M15" s="299"/>
      <c r="O15" s="290"/>
    </row>
    <row r="16" ht="14.25" customHeight="1">
      <c r="A16" s="300" t="s">
        <v>13</v>
      </c>
      <c r="B16" s="48">
        <f t="shared" ref="B16:J16" si="14">0</f>
        <v>0</v>
      </c>
      <c r="C16" s="48">
        <f t="shared" si="14"/>
        <v>0</v>
      </c>
      <c r="D16" s="48">
        <f t="shared" si="14"/>
        <v>0</v>
      </c>
      <c r="E16" s="48">
        <f t="shared" si="14"/>
        <v>0</v>
      </c>
      <c r="F16" s="48">
        <f t="shared" si="14"/>
        <v>0</v>
      </c>
      <c r="G16" s="48">
        <f t="shared" si="14"/>
        <v>0</v>
      </c>
      <c r="H16" s="48">
        <f t="shared" si="14"/>
        <v>0</v>
      </c>
      <c r="I16" s="48">
        <f t="shared" si="14"/>
        <v>0</v>
      </c>
      <c r="J16" s="48">
        <f t="shared" si="14"/>
        <v>0</v>
      </c>
      <c r="K16" s="310">
        <f t="shared" ref="K16:K21" si="18">SUM(B16:J16)</f>
        <v>0</v>
      </c>
      <c r="L16" s="299"/>
      <c r="M16" s="299"/>
      <c r="O16" s="290"/>
    </row>
    <row r="17" ht="14.25" customHeight="1">
      <c r="A17" s="300" t="s">
        <v>14</v>
      </c>
      <c r="B17" s="48">
        <f t="shared" ref="B17:C17" si="15">0+1</f>
        <v>1</v>
      </c>
      <c r="C17" s="48">
        <f t="shared" si="15"/>
        <v>1</v>
      </c>
      <c r="D17" s="48">
        <f>0+1+1</f>
        <v>2</v>
      </c>
      <c r="E17" s="48">
        <f>0+1</f>
        <v>1</v>
      </c>
      <c r="F17" s="48">
        <f t="shared" ref="F17:G17" si="16">0</f>
        <v>0</v>
      </c>
      <c r="G17" s="48">
        <f t="shared" si="16"/>
        <v>0</v>
      </c>
      <c r="H17" s="48">
        <f>0+1</f>
        <v>1</v>
      </c>
      <c r="I17" s="48">
        <f t="shared" ref="I17:J17" si="17">0</f>
        <v>0</v>
      </c>
      <c r="J17" s="48">
        <f t="shared" si="17"/>
        <v>0</v>
      </c>
      <c r="K17" s="310">
        <f t="shared" si="18"/>
        <v>6</v>
      </c>
      <c r="L17" s="299"/>
      <c r="M17" s="299"/>
      <c r="O17" s="290"/>
    </row>
    <row r="18" ht="14.25" customHeight="1">
      <c r="A18" s="300" t="s">
        <v>140</v>
      </c>
      <c r="B18" s="48">
        <f t="shared" ref="B18:D18" si="19">0+1</f>
        <v>1</v>
      </c>
      <c r="C18" s="48">
        <f t="shared" si="19"/>
        <v>1</v>
      </c>
      <c r="D18" s="48">
        <f t="shared" si="19"/>
        <v>1</v>
      </c>
      <c r="E18" s="48">
        <f>2</f>
        <v>2</v>
      </c>
      <c r="F18" s="48">
        <f>0+3</f>
        <v>3</v>
      </c>
      <c r="G18" s="48">
        <f t="shared" ref="G18:I18" si="20">0+1</f>
        <v>1</v>
      </c>
      <c r="H18" s="48">
        <f t="shared" si="20"/>
        <v>1</v>
      </c>
      <c r="I18" s="48">
        <f t="shared" si="20"/>
        <v>1</v>
      </c>
      <c r="J18" s="48">
        <f>0</f>
        <v>0</v>
      </c>
      <c r="K18" s="310">
        <f t="shared" si="18"/>
        <v>11</v>
      </c>
      <c r="L18" s="299"/>
      <c r="M18" s="299"/>
      <c r="O18" s="290"/>
    </row>
    <row r="19" ht="14.25" customHeight="1">
      <c r="A19" s="300" t="s">
        <v>16</v>
      </c>
      <c r="B19" s="48">
        <f>0+1</f>
        <v>1</v>
      </c>
      <c r="C19" s="48">
        <f t="shared" ref="C19:I19" si="21">0</f>
        <v>0</v>
      </c>
      <c r="D19" s="48">
        <f t="shared" si="21"/>
        <v>0</v>
      </c>
      <c r="E19" s="48">
        <f t="shared" si="21"/>
        <v>0</v>
      </c>
      <c r="F19" s="48">
        <f t="shared" si="21"/>
        <v>0</v>
      </c>
      <c r="G19" s="48">
        <f t="shared" si="21"/>
        <v>0</v>
      </c>
      <c r="H19" s="48">
        <f t="shared" si="21"/>
        <v>0</v>
      </c>
      <c r="I19" s="48">
        <f t="shared" si="21"/>
        <v>0</v>
      </c>
      <c r="J19" s="48">
        <f>0+1</f>
        <v>1</v>
      </c>
      <c r="K19" s="310">
        <f t="shared" si="18"/>
        <v>2</v>
      </c>
      <c r="L19" s="299"/>
      <c r="M19" s="299"/>
      <c r="O19" s="290"/>
    </row>
    <row r="20" ht="14.25" customHeight="1">
      <c r="A20" s="311" t="s">
        <v>40</v>
      </c>
      <c r="B20" s="48">
        <f t="shared" ref="B20:C20" si="22">1-1</f>
        <v>0</v>
      </c>
      <c r="C20" s="48">
        <f t="shared" si="22"/>
        <v>0</v>
      </c>
      <c r="D20" s="48">
        <f t="shared" ref="D20:J20" si="23">0</f>
        <v>0</v>
      </c>
      <c r="E20" s="48">
        <f t="shared" si="23"/>
        <v>0</v>
      </c>
      <c r="F20" s="48">
        <f t="shared" si="23"/>
        <v>0</v>
      </c>
      <c r="G20" s="48">
        <f t="shared" si="23"/>
        <v>0</v>
      </c>
      <c r="H20" s="48">
        <f t="shared" si="23"/>
        <v>0</v>
      </c>
      <c r="I20" s="48">
        <f t="shared" si="23"/>
        <v>0</v>
      </c>
      <c r="J20" s="48">
        <f t="shared" si="23"/>
        <v>0</v>
      </c>
      <c r="K20" s="310">
        <f t="shared" si="18"/>
        <v>0</v>
      </c>
      <c r="L20" s="299"/>
      <c r="M20" s="299"/>
      <c r="O20" s="290"/>
    </row>
    <row r="21" ht="14.25" customHeight="1">
      <c r="A21" s="300" t="s">
        <v>41</v>
      </c>
      <c r="B21" s="48">
        <f>1</f>
        <v>1</v>
      </c>
      <c r="C21" s="48">
        <f>3</f>
        <v>3</v>
      </c>
      <c r="D21" s="48">
        <f>2</f>
        <v>2</v>
      </c>
      <c r="E21" s="48">
        <f t="shared" ref="E21:F21" si="24">1</f>
        <v>1</v>
      </c>
      <c r="F21" s="48">
        <f t="shared" si="24"/>
        <v>1</v>
      </c>
      <c r="G21" s="48">
        <f>2</f>
        <v>2</v>
      </c>
      <c r="H21" s="48">
        <f>0+1</f>
        <v>1</v>
      </c>
      <c r="I21" s="48">
        <f t="shared" ref="I21:J21" si="25">0</f>
        <v>0</v>
      </c>
      <c r="J21" s="48">
        <f t="shared" si="25"/>
        <v>0</v>
      </c>
      <c r="K21" s="310">
        <f t="shared" si="18"/>
        <v>11</v>
      </c>
      <c r="L21" s="299"/>
      <c r="M21" s="299"/>
      <c r="O21" s="290"/>
    </row>
    <row r="22" ht="14.25" customHeight="1">
      <c r="A22" s="119"/>
      <c r="B22" s="304"/>
      <c r="C22" s="304"/>
      <c r="D22" s="304"/>
      <c r="E22" s="304"/>
      <c r="F22" s="304"/>
      <c r="G22" s="304"/>
      <c r="H22" s="304"/>
      <c r="I22" s="304"/>
      <c r="J22" s="304"/>
      <c r="K22" s="305">
        <f>SUM(K16:K21)</f>
        <v>30</v>
      </c>
      <c r="L22" s="299"/>
      <c r="M22" s="299"/>
      <c r="O22" s="290"/>
    </row>
    <row r="23" ht="14.25" customHeight="1">
      <c r="A23" s="306"/>
      <c r="B23" s="119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290"/>
    </row>
    <row r="24" ht="14.25" customHeight="1">
      <c r="A24" s="291"/>
      <c r="B24" s="292" t="s">
        <v>141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290"/>
    </row>
    <row r="25" ht="14.25" customHeight="1">
      <c r="A25" s="291"/>
      <c r="B25" s="293" t="s">
        <v>43</v>
      </c>
      <c r="C25" s="56"/>
      <c r="D25" s="56"/>
      <c r="E25" s="56"/>
      <c r="F25" s="56"/>
      <c r="G25" s="56"/>
      <c r="H25" s="56"/>
      <c r="I25" s="56"/>
      <c r="J25" s="57"/>
      <c r="K25" s="294"/>
      <c r="L25" s="295"/>
      <c r="M25" s="295"/>
      <c r="O25" s="290"/>
    </row>
    <row r="26" ht="14.25" customHeight="1">
      <c r="A26" s="296" t="s">
        <v>3</v>
      </c>
      <c r="B26" s="297" t="s">
        <v>4</v>
      </c>
      <c r="C26" s="298" t="s">
        <v>5</v>
      </c>
      <c r="D26" s="298" t="s">
        <v>6</v>
      </c>
      <c r="E26" s="298" t="s">
        <v>7</v>
      </c>
      <c r="F26" s="298" t="s">
        <v>8</v>
      </c>
      <c r="G26" s="298" t="s">
        <v>9</v>
      </c>
      <c r="H26" s="298" t="s">
        <v>10</v>
      </c>
      <c r="I26" s="298" t="s">
        <v>11</v>
      </c>
      <c r="J26" s="298" t="s">
        <v>12</v>
      </c>
      <c r="K26" s="299"/>
      <c r="L26" s="299"/>
      <c r="M26" s="299"/>
      <c r="O26" s="290"/>
    </row>
    <row r="27" ht="14.25" customHeight="1">
      <c r="A27" s="300" t="s">
        <v>13</v>
      </c>
      <c r="B27" s="48">
        <f t="shared" ref="B27:C27" si="26">0</f>
        <v>0</v>
      </c>
      <c r="C27" s="48">
        <f t="shared" si="26"/>
        <v>0</v>
      </c>
      <c r="D27" s="48">
        <f t="shared" ref="D27:E27" si="27">7</f>
        <v>7</v>
      </c>
      <c r="E27" s="48">
        <f t="shared" si="27"/>
        <v>7</v>
      </c>
      <c r="F27" s="48">
        <f t="shared" ref="F27:G27" si="28">0</f>
        <v>0</v>
      </c>
      <c r="G27" s="48">
        <f t="shared" si="28"/>
        <v>0</v>
      </c>
      <c r="H27" s="48">
        <f>1</f>
        <v>1</v>
      </c>
      <c r="I27" s="48">
        <f t="shared" ref="I27:J27" si="29">0</f>
        <v>0</v>
      </c>
      <c r="J27" s="48">
        <f t="shared" si="29"/>
        <v>0</v>
      </c>
      <c r="K27" s="302">
        <f t="shared" ref="K27:K29" si="32">SUM(B27:J27)</f>
        <v>15</v>
      </c>
      <c r="L27" s="299"/>
      <c r="M27" s="299"/>
      <c r="O27" s="290"/>
    </row>
    <row r="28" ht="14.25" customHeight="1">
      <c r="A28" s="300" t="s">
        <v>14</v>
      </c>
      <c r="B28" s="48">
        <f t="shared" ref="B28:C28" si="30">0</f>
        <v>0</v>
      </c>
      <c r="C28" s="48">
        <f t="shared" si="30"/>
        <v>0</v>
      </c>
      <c r="D28" s="48">
        <f>0+1-1+1</f>
        <v>1</v>
      </c>
      <c r="E28" s="48">
        <f>0</f>
        <v>0</v>
      </c>
      <c r="F28" s="48">
        <f>0+1</f>
        <v>1</v>
      </c>
      <c r="G28" s="48">
        <f t="shared" ref="G28:J28" si="31">0</f>
        <v>0</v>
      </c>
      <c r="H28" s="48">
        <f t="shared" si="31"/>
        <v>0</v>
      </c>
      <c r="I28" s="48">
        <f t="shared" si="31"/>
        <v>0</v>
      </c>
      <c r="J28" s="48">
        <f t="shared" si="31"/>
        <v>0</v>
      </c>
      <c r="K28" s="302">
        <f t="shared" si="32"/>
        <v>2</v>
      </c>
      <c r="L28" s="299"/>
      <c r="M28" s="299"/>
      <c r="O28" s="290"/>
    </row>
    <row r="29" ht="14.25" customHeight="1">
      <c r="A29" s="300" t="s">
        <v>140</v>
      </c>
      <c r="B29" s="48">
        <f t="shared" ref="B29:F29" si="33">0</f>
        <v>0</v>
      </c>
      <c r="C29" s="48">
        <f t="shared" si="33"/>
        <v>0</v>
      </c>
      <c r="D29" s="48">
        <f t="shared" si="33"/>
        <v>0</v>
      </c>
      <c r="E29" s="48">
        <f t="shared" si="33"/>
        <v>0</v>
      </c>
      <c r="F29" s="48">
        <f t="shared" si="33"/>
        <v>0</v>
      </c>
      <c r="G29" s="48">
        <f>1</f>
        <v>1</v>
      </c>
      <c r="H29" s="48">
        <f t="shared" ref="H29:J29" si="34">0</f>
        <v>0</v>
      </c>
      <c r="I29" s="48">
        <f t="shared" si="34"/>
        <v>0</v>
      </c>
      <c r="J29" s="48">
        <f t="shared" si="34"/>
        <v>0</v>
      </c>
      <c r="K29" s="302">
        <f t="shared" si="32"/>
        <v>1</v>
      </c>
      <c r="L29" s="312"/>
      <c r="M29" s="299"/>
      <c r="O29" s="290"/>
    </row>
    <row r="30" ht="14.25" customHeight="1">
      <c r="A30" s="119"/>
      <c r="B30" s="304"/>
      <c r="C30" s="304"/>
      <c r="D30" s="304"/>
      <c r="E30" s="304"/>
      <c r="F30" s="304"/>
      <c r="G30" s="304"/>
      <c r="H30" s="304"/>
      <c r="I30" s="304"/>
      <c r="J30" s="304"/>
      <c r="K30" s="305">
        <f>SUM(K27:K29)</f>
        <v>18</v>
      </c>
      <c r="L30" s="299"/>
      <c r="M30" s="299"/>
      <c r="O30" s="290"/>
    </row>
    <row r="31" ht="14.25" customHeight="1">
      <c r="A31" s="306"/>
      <c r="B31" s="119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290"/>
    </row>
    <row r="32" ht="14.25" customHeight="1">
      <c r="A32" s="291"/>
      <c r="B32" s="292" t="s">
        <v>142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290"/>
    </row>
    <row r="33" ht="14.25" customHeight="1">
      <c r="A33" s="291"/>
      <c r="B33" s="293" t="s">
        <v>43</v>
      </c>
      <c r="C33" s="56"/>
      <c r="D33" s="56"/>
      <c r="E33" s="56"/>
      <c r="F33" s="56"/>
      <c r="G33" s="56"/>
      <c r="H33" s="56"/>
      <c r="I33" s="56"/>
      <c r="J33" s="57"/>
      <c r="K33" s="294"/>
      <c r="L33" s="295"/>
      <c r="M33" s="295"/>
      <c r="O33" s="290"/>
    </row>
    <row r="34" ht="14.25" customHeight="1">
      <c r="A34" s="296" t="s">
        <v>3</v>
      </c>
      <c r="B34" s="297" t="s">
        <v>4</v>
      </c>
      <c r="C34" s="298" t="s">
        <v>5</v>
      </c>
      <c r="D34" s="298" t="s">
        <v>6</v>
      </c>
      <c r="E34" s="298" t="s">
        <v>7</v>
      </c>
      <c r="F34" s="298" t="s">
        <v>8</v>
      </c>
      <c r="G34" s="298" t="s">
        <v>9</v>
      </c>
      <c r="H34" s="298" t="s">
        <v>10</v>
      </c>
      <c r="I34" s="298" t="s">
        <v>11</v>
      </c>
      <c r="J34" s="298" t="s">
        <v>12</v>
      </c>
      <c r="K34" s="299"/>
      <c r="L34" s="299"/>
      <c r="M34" s="299"/>
      <c r="O34" s="290"/>
    </row>
    <row r="35" ht="14.25" customHeight="1">
      <c r="A35" s="300" t="s">
        <v>13</v>
      </c>
      <c r="B35" s="301">
        <f>3</f>
        <v>3</v>
      </c>
      <c r="C35" s="48">
        <f t="shared" ref="C35:D35" si="35">0</f>
        <v>0</v>
      </c>
      <c r="D35" s="48">
        <f t="shared" si="35"/>
        <v>0</v>
      </c>
      <c r="E35" s="301">
        <f>2</f>
        <v>2</v>
      </c>
      <c r="F35" s="301">
        <f t="shared" ref="F35:H35" si="36">1</f>
        <v>1</v>
      </c>
      <c r="G35" s="301">
        <f t="shared" si="36"/>
        <v>1</v>
      </c>
      <c r="H35" s="313">
        <f t="shared" si="36"/>
        <v>1</v>
      </c>
      <c r="I35" s="48">
        <f>0</f>
        <v>0</v>
      </c>
      <c r="J35" s="301">
        <f>1</f>
        <v>1</v>
      </c>
      <c r="K35" s="302">
        <f t="shared" ref="K35:K40" si="39">SUM(B35:J35)</f>
        <v>9</v>
      </c>
      <c r="L35" s="299"/>
      <c r="M35" s="299"/>
      <c r="O35" s="290"/>
    </row>
    <row r="36" ht="14.25" customHeight="1">
      <c r="A36" s="300" t="s">
        <v>14</v>
      </c>
      <c r="B36" s="301">
        <f t="shared" ref="B36:C36" si="37">1</f>
        <v>1</v>
      </c>
      <c r="C36" s="301">
        <f t="shared" si="37"/>
        <v>1</v>
      </c>
      <c r="D36" s="303">
        <f>4+6</f>
        <v>10</v>
      </c>
      <c r="E36" s="303">
        <f>1+3</f>
        <v>4</v>
      </c>
      <c r="F36" s="303">
        <f>1</f>
        <v>1</v>
      </c>
      <c r="G36" s="48">
        <f t="shared" ref="G36:J36" si="38">0</f>
        <v>0</v>
      </c>
      <c r="H36" s="48">
        <f t="shared" si="38"/>
        <v>0</v>
      </c>
      <c r="I36" s="48">
        <f t="shared" si="38"/>
        <v>0</v>
      </c>
      <c r="J36" s="48">
        <f t="shared" si="38"/>
        <v>0</v>
      </c>
      <c r="K36" s="302">
        <f t="shared" si="39"/>
        <v>17</v>
      </c>
      <c r="L36" s="299"/>
      <c r="M36" s="299"/>
      <c r="O36" s="290"/>
    </row>
    <row r="37" ht="14.25" customHeight="1">
      <c r="A37" s="300" t="s">
        <v>140</v>
      </c>
      <c r="B37" s="301">
        <f t="shared" ref="B37:B38" si="42">1</f>
        <v>1</v>
      </c>
      <c r="C37" s="301">
        <f t="shared" ref="C37:C38" si="43">2</f>
        <v>2</v>
      </c>
      <c r="D37" s="301">
        <f t="shared" ref="D37:E37" si="40">1</f>
        <v>1</v>
      </c>
      <c r="E37" s="301">
        <f t="shared" si="40"/>
        <v>1</v>
      </c>
      <c r="F37" s="48">
        <f>0</f>
        <v>0</v>
      </c>
      <c r="G37" s="303">
        <f>2</f>
        <v>2</v>
      </c>
      <c r="H37" s="303">
        <f>1</f>
        <v>1</v>
      </c>
      <c r="I37" s="48">
        <f t="shared" ref="I37:J37" si="41">0</f>
        <v>0</v>
      </c>
      <c r="J37" s="48">
        <f t="shared" si="41"/>
        <v>0</v>
      </c>
      <c r="K37" s="302">
        <f t="shared" si="39"/>
        <v>8</v>
      </c>
      <c r="L37" s="299"/>
      <c r="M37" s="299"/>
      <c r="O37" s="290"/>
    </row>
    <row r="38" ht="14.25" customHeight="1">
      <c r="A38" s="300" t="s">
        <v>16</v>
      </c>
      <c r="B38" s="303">
        <f t="shared" si="42"/>
        <v>1</v>
      </c>
      <c r="C38" s="301">
        <f t="shared" si="43"/>
        <v>2</v>
      </c>
      <c r="D38" s="301">
        <f>2</f>
        <v>2</v>
      </c>
      <c r="E38" s="48">
        <f>0</f>
        <v>0</v>
      </c>
      <c r="F38" s="301">
        <f t="shared" ref="F38:I38" si="44">1</f>
        <v>1</v>
      </c>
      <c r="G38" s="303">
        <f t="shared" si="44"/>
        <v>1</v>
      </c>
      <c r="H38" s="303">
        <f t="shared" si="44"/>
        <v>1</v>
      </c>
      <c r="I38" s="303">
        <f t="shared" si="44"/>
        <v>1</v>
      </c>
      <c r="J38" s="48">
        <f>0</f>
        <v>0</v>
      </c>
      <c r="K38" s="302">
        <f t="shared" si="39"/>
        <v>9</v>
      </c>
      <c r="L38" s="299"/>
      <c r="M38" s="299"/>
      <c r="O38" s="290"/>
    </row>
    <row r="39" ht="14.25" customHeight="1">
      <c r="A39" s="300" t="s">
        <v>40</v>
      </c>
      <c r="B39" s="48">
        <f t="shared" ref="B39:D39" si="45">0</f>
        <v>0</v>
      </c>
      <c r="C39" s="48">
        <f t="shared" si="45"/>
        <v>0</v>
      </c>
      <c r="D39" s="48">
        <f t="shared" si="45"/>
        <v>0</v>
      </c>
      <c r="E39" s="301">
        <f>2</f>
        <v>2</v>
      </c>
      <c r="F39" s="48">
        <f t="shared" ref="F39:J39" si="46">0</f>
        <v>0</v>
      </c>
      <c r="G39" s="48">
        <f t="shared" si="46"/>
        <v>0</v>
      </c>
      <c r="H39" s="48">
        <f t="shared" si="46"/>
        <v>0</v>
      </c>
      <c r="I39" s="48">
        <f t="shared" si="46"/>
        <v>0</v>
      </c>
      <c r="J39" s="48">
        <f t="shared" si="46"/>
        <v>0</v>
      </c>
      <c r="K39" s="302">
        <f t="shared" si="39"/>
        <v>2</v>
      </c>
      <c r="L39" s="299"/>
      <c r="M39" s="299"/>
      <c r="O39" s="290"/>
    </row>
    <row r="40" ht="14.25" customHeight="1">
      <c r="A40" s="300" t="s">
        <v>41</v>
      </c>
      <c r="B40" s="48">
        <f t="shared" ref="B40:E40" si="47">0</f>
        <v>0</v>
      </c>
      <c r="C40" s="48">
        <f t="shared" si="47"/>
        <v>0</v>
      </c>
      <c r="D40" s="48">
        <f t="shared" si="47"/>
        <v>0</v>
      </c>
      <c r="E40" s="48">
        <f t="shared" si="47"/>
        <v>0</v>
      </c>
      <c r="F40" s="303">
        <f>2</f>
        <v>2</v>
      </c>
      <c r="G40" s="48">
        <f t="shared" ref="G40:J40" si="48">0</f>
        <v>0</v>
      </c>
      <c r="H40" s="48">
        <f t="shared" si="48"/>
        <v>0</v>
      </c>
      <c r="I40" s="48">
        <f t="shared" si="48"/>
        <v>0</v>
      </c>
      <c r="J40" s="48">
        <f t="shared" si="48"/>
        <v>0</v>
      </c>
      <c r="K40" s="302">
        <f t="shared" si="39"/>
        <v>2</v>
      </c>
      <c r="L40" s="299"/>
      <c r="M40" s="299"/>
      <c r="O40" s="290"/>
    </row>
    <row r="41" ht="14.25" customHeight="1">
      <c r="A41" s="119"/>
      <c r="B41" s="304"/>
      <c r="C41" s="304"/>
      <c r="D41" s="304"/>
      <c r="E41" s="304"/>
      <c r="F41" s="304"/>
      <c r="G41" s="304"/>
      <c r="H41" s="304"/>
      <c r="I41" s="304"/>
      <c r="J41" s="304"/>
      <c r="K41" s="305">
        <f>SUM(K35:K40)</f>
        <v>47</v>
      </c>
      <c r="L41" s="299"/>
      <c r="M41" s="299"/>
      <c r="O41" s="290"/>
    </row>
    <row r="42" ht="14.25" customHeight="1">
      <c r="A42" s="119"/>
      <c r="B42" s="304"/>
      <c r="C42" s="304"/>
      <c r="D42" s="304"/>
      <c r="E42" s="304"/>
      <c r="F42" s="304"/>
      <c r="G42" s="304"/>
      <c r="H42" s="304"/>
      <c r="I42" s="304"/>
      <c r="J42" s="304"/>
      <c r="K42" s="314"/>
      <c r="L42" s="299"/>
      <c r="M42" s="299"/>
      <c r="O42" s="290"/>
    </row>
    <row r="43" ht="14.25" customHeight="1">
      <c r="A43" s="306"/>
      <c r="B43" s="119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290"/>
    </row>
    <row r="44" ht="14.25" customHeight="1">
      <c r="A44" s="291"/>
      <c r="B44" s="292" t="s">
        <v>143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O44" s="290"/>
    </row>
    <row r="45" ht="14.25" customHeight="1">
      <c r="A45" s="291"/>
      <c r="B45" s="293" t="s">
        <v>43</v>
      </c>
      <c r="C45" s="56"/>
      <c r="D45" s="56"/>
      <c r="E45" s="56"/>
      <c r="F45" s="56"/>
      <c r="G45" s="56"/>
      <c r="H45" s="56"/>
      <c r="I45" s="56"/>
      <c r="J45" s="57"/>
      <c r="K45" s="294"/>
      <c r="L45" s="295"/>
      <c r="M45" s="295"/>
      <c r="O45" s="290"/>
    </row>
    <row r="46" ht="14.25" customHeight="1">
      <c r="A46" s="296" t="s">
        <v>3</v>
      </c>
      <c r="B46" s="297" t="s">
        <v>4</v>
      </c>
      <c r="C46" s="298" t="s">
        <v>5</v>
      </c>
      <c r="D46" s="298" t="s">
        <v>6</v>
      </c>
      <c r="E46" s="298" t="s">
        <v>7</v>
      </c>
      <c r="F46" s="298" t="s">
        <v>8</v>
      </c>
      <c r="G46" s="298" t="s">
        <v>9</v>
      </c>
      <c r="H46" s="298" t="s">
        <v>10</v>
      </c>
      <c r="I46" s="298" t="s">
        <v>11</v>
      </c>
      <c r="J46" s="298" t="s">
        <v>12</v>
      </c>
      <c r="K46" s="299"/>
      <c r="L46" s="299"/>
      <c r="M46" s="299"/>
      <c r="O46" s="290"/>
    </row>
    <row r="47" ht="14.25" customHeight="1">
      <c r="A47" s="300" t="s">
        <v>13</v>
      </c>
      <c r="B47" s="48">
        <f t="shared" ref="B47:J47" si="49">0</f>
        <v>0</v>
      </c>
      <c r="C47" s="48">
        <f t="shared" si="49"/>
        <v>0</v>
      </c>
      <c r="D47" s="48">
        <f t="shared" si="49"/>
        <v>0</v>
      </c>
      <c r="E47" s="48">
        <f t="shared" si="49"/>
        <v>0</v>
      </c>
      <c r="F47" s="48">
        <f t="shared" si="49"/>
        <v>0</v>
      </c>
      <c r="G47" s="48">
        <f t="shared" si="49"/>
        <v>0</v>
      </c>
      <c r="H47" s="48">
        <f t="shared" si="49"/>
        <v>0</v>
      </c>
      <c r="I47" s="48">
        <f t="shared" si="49"/>
        <v>0</v>
      </c>
      <c r="J47" s="48">
        <f t="shared" si="49"/>
        <v>0</v>
      </c>
      <c r="K47" s="302">
        <f t="shared" ref="K47:K52" si="51">SUM(B47:J47)</f>
        <v>0</v>
      </c>
      <c r="L47" s="299"/>
      <c r="M47" s="299"/>
      <c r="O47" s="290"/>
    </row>
    <row r="48" ht="14.25" customHeight="1">
      <c r="A48" s="300" t="s">
        <v>14</v>
      </c>
      <c r="B48" s="48">
        <f>0+1</f>
        <v>1</v>
      </c>
      <c r="C48" s="48">
        <f t="shared" ref="C48:C49" si="52">0</f>
        <v>0</v>
      </c>
      <c r="D48" s="303">
        <f>2-1</f>
        <v>1</v>
      </c>
      <c r="E48" s="303">
        <f t="shared" ref="E48:E49" si="53">1</f>
        <v>1</v>
      </c>
      <c r="F48" s="48">
        <f t="shared" ref="F48:F49" si="54">0</f>
        <v>0</v>
      </c>
      <c r="G48" s="315">
        <f t="shared" ref="G48:G50" si="55">1</f>
        <v>1</v>
      </c>
      <c r="H48" s="48">
        <f t="shared" ref="H48:J48" si="50">0</f>
        <v>0</v>
      </c>
      <c r="I48" s="48">
        <f t="shared" si="50"/>
        <v>0</v>
      </c>
      <c r="J48" s="48">
        <f t="shared" si="50"/>
        <v>0</v>
      </c>
      <c r="K48" s="302">
        <f t="shared" si="51"/>
        <v>4</v>
      </c>
      <c r="L48" s="299"/>
      <c r="M48" s="299"/>
      <c r="O48" s="290"/>
    </row>
    <row r="49" ht="14.25" customHeight="1">
      <c r="A49" s="300" t="s">
        <v>140</v>
      </c>
      <c r="B49" s="303">
        <f>1</f>
        <v>1</v>
      </c>
      <c r="C49" s="48">
        <f t="shared" si="52"/>
        <v>0</v>
      </c>
      <c r="D49" s="48">
        <f>0</f>
        <v>0</v>
      </c>
      <c r="E49" s="48">
        <f t="shared" si="53"/>
        <v>1</v>
      </c>
      <c r="F49" s="48">
        <f t="shared" si="54"/>
        <v>0</v>
      </c>
      <c r="G49" s="48">
        <f t="shared" si="55"/>
        <v>1</v>
      </c>
      <c r="H49" s="48">
        <f>1</f>
        <v>1</v>
      </c>
      <c r="I49" s="48">
        <f t="shared" ref="I49:J49" si="56">0</f>
        <v>0</v>
      </c>
      <c r="J49" s="48">
        <f t="shared" si="56"/>
        <v>0</v>
      </c>
      <c r="K49" s="302">
        <f t="shared" si="51"/>
        <v>4</v>
      </c>
      <c r="L49" s="299"/>
      <c r="M49" s="299"/>
      <c r="O49" s="290"/>
    </row>
    <row r="50" ht="14.25" customHeight="1">
      <c r="A50" s="300" t="s">
        <v>16</v>
      </c>
      <c r="B50" s="48">
        <f t="shared" ref="B50:F50" si="57">0</f>
        <v>0</v>
      </c>
      <c r="C50" s="48">
        <f t="shared" si="57"/>
        <v>0</v>
      </c>
      <c r="D50" s="48">
        <f t="shared" si="57"/>
        <v>0</v>
      </c>
      <c r="E50" s="48">
        <f t="shared" si="57"/>
        <v>0</v>
      </c>
      <c r="F50" s="48">
        <f t="shared" si="57"/>
        <v>0</v>
      </c>
      <c r="G50" s="303">
        <f t="shared" si="55"/>
        <v>1</v>
      </c>
      <c r="H50" s="48">
        <f t="shared" ref="H50:J50" si="58">0</f>
        <v>0</v>
      </c>
      <c r="I50" s="48">
        <f t="shared" si="58"/>
        <v>0</v>
      </c>
      <c r="J50" s="48">
        <f t="shared" si="58"/>
        <v>0</v>
      </c>
      <c r="K50" s="302">
        <f t="shared" si="51"/>
        <v>1</v>
      </c>
      <c r="L50" s="299"/>
      <c r="M50" s="299"/>
      <c r="O50" s="290"/>
    </row>
    <row r="51" ht="14.25" customHeight="1">
      <c r="A51" s="300" t="s">
        <v>19</v>
      </c>
      <c r="B51" s="48">
        <f t="shared" ref="B51:J51" si="59">0</f>
        <v>0</v>
      </c>
      <c r="C51" s="48">
        <f t="shared" si="59"/>
        <v>0</v>
      </c>
      <c r="D51" s="48">
        <f t="shared" si="59"/>
        <v>0</v>
      </c>
      <c r="E51" s="48">
        <f t="shared" si="59"/>
        <v>0</v>
      </c>
      <c r="F51" s="48">
        <f t="shared" si="59"/>
        <v>0</v>
      </c>
      <c r="G51" s="48">
        <f t="shared" si="59"/>
        <v>0</v>
      </c>
      <c r="H51" s="48">
        <f t="shared" si="59"/>
        <v>0</v>
      </c>
      <c r="I51" s="48">
        <f t="shared" si="59"/>
        <v>0</v>
      </c>
      <c r="J51" s="48">
        <f t="shared" si="59"/>
        <v>0</v>
      </c>
      <c r="K51" s="302">
        <f t="shared" si="51"/>
        <v>0</v>
      </c>
      <c r="L51" s="299"/>
      <c r="M51" s="299"/>
      <c r="O51" s="290"/>
    </row>
    <row r="52" ht="14.25" customHeight="1">
      <c r="A52" s="300" t="s">
        <v>41</v>
      </c>
      <c r="B52" s="48">
        <f t="shared" ref="B52:I52" si="60">0</f>
        <v>0</v>
      </c>
      <c r="C52" s="48">
        <f t="shared" si="60"/>
        <v>0</v>
      </c>
      <c r="D52" s="48">
        <f t="shared" si="60"/>
        <v>0</v>
      </c>
      <c r="E52" s="48">
        <f t="shared" si="60"/>
        <v>0</v>
      </c>
      <c r="F52" s="48">
        <f t="shared" si="60"/>
        <v>0</v>
      </c>
      <c r="G52" s="48">
        <f t="shared" si="60"/>
        <v>0</v>
      </c>
      <c r="H52" s="48">
        <f t="shared" si="60"/>
        <v>0</v>
      </c>
      <c r="I52" s="48">
        <f t="shared" si="60"/>
        <v>0</v>
      </c>
      <c r="J52" s="303">
        <f>1</f>
        <v>1</v>
      </c>
      <c r="K52" s="302">
        <f t="shared" si="51"/>
        <v>1</v>
      </c>
      <c r="L52" s="299"/>
      <c r="M52" s="299"/>
      <c r="O52" s="290"/>
    </row>
    <row r="53" ht="14.25" customHeight="1">
      <c r="A53" s="119"/>
      <c r="B53" s="304"/>
      <c r="C53" s="304"/>
      <c r="D53" s="304"/>
      <c r="E53" s="304"/>
      <c r="F53" s="304"/>
      <c r="G53" s="304"/>
      <c r="H53" s="304"/>
      <c r="I53" s="304"/>
      <c r="J53" s="304"/>
      <c r="K53" s="316">
        <f>SUM(K47:K52)</f>
        <v>10</v>
      </c>
      <c r="L53" s="299"/>
      <c r="M53" s="299"/>
      <c r="O53" s="290"/>
    </row>
    <row r="54" ht="14.25" customHeight="1">
      <c r="B54" s="227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</row>
    <row r="55" ht="14.25" customHeight="1">
      <c r="A55" s="291"/>
      <c r="B55" s="292" t="s">
        <v>144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290"/>
    </row>
    <row r="56" ht="14.25" customHeight="1">
      <c r="A56" s="291"/>
      <c r="B56" s="293" t="s">
        <v>43</v>
      </c>
      <c r="C56" s="56"/>
      <c r="D56" s="56"/>
      <c r="E56" s="56"/>
      <c r="F56" s="56"/>
      <c r="G56" s="56"/>
      <c r="H56" s="56"/>
      <c r="I56" s="56"/>
      <c r="J56" s="57"/>
      <c r="K56" s="294"/>
      <c r="L56" s="295"/>
      <c r="M56" s="295"/>
      <c r="O56" s="290"/>
    </row>
    <row r="57" ht="14.25" customHeight="1">
      <c r="A57" s="317" t="s">
        <v>3</v>
      </c>
      <c r="B57" s="308" t="s">
        <v>4</v>
      </c>
      <c r="C57" s="309" t="s">
        <v>5</v>
      </c>
      <c r="D57" s="309" t="s">
        <v>6</v>
      </c>
      <c r="E57" s="309" t="s">
        <v>7</v>
      </c>
      <c r="F57" s="309" t="s">
        <v>8</v>
      </c>
      <c r="G57" s="309" t="s">
        <v>9</v>
      </c>
      <c r="H57" s="309" t="s">
        <v>10</v>
      </c>
      <c r="I57" s="309" t="s">
        <v>11</v>
      </c>
      <c r="J57" s="309" t="s">
        <v>12</v>
      </c>
      <c r="K57" s="299"/>
      <c r="L57" s="299"/>
      <c r="M57" s="299"/>
      <c r="O57" s="290"/>
    </row>
    <row r="58" ht="14.25" customHeight="1">
      <c r="A58" s="117" t="s">
        <v>2</v>
      </c>
      <c r="B58" s="318">
        <v>0.0</v>
      </c>
      <c r="C58" s="318">
        <v>0.0</v>
      </c>
      <c r="D58" s="318">
        <v>0.0</v>
      </c>
      <c r="E58" s="318">
        <v>0.0</v>
      </c>
      <c r="F58" s="318">
        <v>0.0</v>
      </c>
      <c r="G58" s="318">
        <v>0.0</v>
      </c>
      <c r="H58" s="318">
        <v>0.0</v>
      </c>
      <c r="I58" s="318">
        <v>0.0</v>
      </c>
      <c r="J58" s="318">
        <v>0.0</v>
      </c>
      <c r="K58" s="318">
        <f t="shared" ref="K58:K59" si="61">SUM(B58:J58)</f>
        <v>0</v>
      </c>
      <c r="L58" s="299"/>
      <c r="M58" s="299"/>
      <c r="O58" s="290"/>
    </row>
    <row r="59" ht="14.25" customHeight="1">
      <c r="A59" s="300" t="s">
        <v>145</v>
      </c>
      <c r="B59" s="318">
        <v>0.0</v>
      </c>
      <c r="C59" s="318">
        <v>0.0</v>
      </c>
      <c r="D59" s="318">
        <v>0.0</v>
      </c>
      <c r="E59" s="318">
        <v>0.0</v>
      </c>
      <c r="F59" s="318">
        <v>0.0</v>
      </c>
      <c r="G59" s="318">
        <v>0.0</v>
      </c>
      <c r="H59" s="318">
        <v>0.0</v>
      </c>
      <c r="I59" s="318">
        <v>0.0</v>
      </c>
      <c r="J59" s="318">
        <v>0.0</v>
      </c>
      <c r="K59" s="318">
        <f t="shared" si="61"/>
        <v>0</v>
      </c>
      <c r="L59" s="299"/>
      <c r="M59" s="299"/>
      <c r="O59" s="290"/>
    </row>
    <row r="60" ht="14.25" customHeight="1">
      <c r="A60" s="119"/>
      <c r="B60" s="299"/>
      <c r="C60" s="299"/>
      <c r="D60" s="299"/>
      <c r="E60" s="299"/>
      <c r="F60" s="299"/>
      <c r="G60" s="299"/>
      <c r="H60" s="299"/>
      <c r="I60" s="299"/>
      <c r="J60" s="299"/>
      <c r="K60" s="319">
        <f>SUM(K58:K59)</f>
        <v>0</v>
      </c>
      <c r="L60" s="299"/>
      <c r="M60" s="299"/>
      <c r="O60" s="290"/>
    </row>
    <row r="61" ht="14.25" customHeight="1">
      <c r="B61" s="227"/>
      <c r="C61" s="290"/>
      <c r="D61" s="290"/>
      <c r="E61" s="290"/>
      <c r="F61" s="290"/>
      <c r="G61" s="290"/>
      <c r="H61" s="290"/>
      <c r="I61" s="290"/>
      <c r="J61" s="290"/>
      <c r="K61" s="290"/>
      <c r="L61" s="290"/>
      <c r="M61" s="290"/>
      <c r="N61" s="290"/>
      <c r="O61" s="290"/>
    </row>
    <row r="62" ht="14.25" customHeight="1">
      <c r="B62" s="227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</row>
    <row r="63" ht="14.25" customHeight="1">
      <c r="B63" s="227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</row>
    <row r="64" ht="14.25" customHeight="1">
      <c r="A64" s="83" t="s">
        <v>146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</row>
    <row r="65" ht="14.25" customHeight="1">
      <c r="A65" s="277" t="s">
        <v>84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8"/>
    </row>
    <row r="66" ht="14.25" customHeight="1">
      <c r="A66" s="277" t="s">
        <v>43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8"/>
    </row>
    <row r="67" ht="14.25" customHeight="1">
      <c r="A67" s="320" t="s">
        <v>87</v>
      </c>
      <c r="H67" s="321"/>
      <c r="I67" s="322">
        <v>28.0</v>
      </c>
      <c r="J67" s="322">
        <v>30.0</v>
      </c>
      <c r="K67" s="322">
        <v>32.0</v>
      </c>
      <c r="L67" s="322">
        <v>34.0</v>
      </c>
      <c r="M67" s="322">
        <v>36.0</v>
      </c>
      <c r="N67" s="322">
        <v>38.0</v>
      </c>
      <c r="O67" s="322">
        <v>40.0</v>
      </c>
      <c r="P67" s="322">
        <v>42.0</v>
      </c>
      <c r="Q67" s="175" t="s">
        <v>76</v>
      </c>
      <c r="R67" s="128"/>
      <c r="S67" s="162"/>
    </row>
    <row r="68" ht="14.25" customHeight="1">
      <c r="A68" s="171"/>
      <c r="B68" s="128"/>
      <c r="C68" s="128"/>
      <c r="D68" s="128"/>
      <c r="E68" s="128"/>
      <c r="F68" s="128"/>
      <c r="G68" s="128"/>
      <c r="H68" s="162"/>
      <c r="I68" s="111" t="s">
        <v>4</v>
      </c>
      <c r="J68" s="111" t="s">
        <v>53</v>
      </c>
      <c r="K68" s="111" t="s">
        <v>54</v>
      </c>
      <c r="L68" s="111" t="s">
        <v>55</v>
      </c>
      <c r="M68" s="111" t="s">
        <v>56</v>
      </c>
      <c r="N68" s="111" t="s">
        <v>9</v>
      </c>
      <c r="O68" s="111" t="s">
        <v>10</v>
      </c>
      <c r="P68" s="111" t="s">
        <v>11</v>
      </c>
      <c r="Q68" s="91"/>
      <c r="R68" s="7"/>
      <c r="S68" s="8"/>
    </row>
    <row r="69" ht="14.25" customHeight="1">
      <c r="A69" s="174" t="s">
        <v>147</v>
      </c>
      <c r="B69" s="7"/>
      <c r="C69" s="7"/>
      <c r="D69" s="7"/>
      <c r="E69" s="7"/>
      <c r="F69" s="7"/>
      <c r="G69" s="7"/>
      <c r="H69" s="8"/>
      <c r="I69" s="48">
        <f t="shared" ref="I69:I73" si="64">0+1</f>
        <v>1</v>
      </c>
      <c r="J69" s="48">
        <f>0+2+1</f>
        <v>3</v>
      </c>
      <c r="K69" s="48">
        <f t="shared" ref="K69:L69" si="62">0</f>
        <v>0</v>
      </c>
      <c r="L69" s="48">
        <f t="shared" si="62"/>
        <v>0</v>
      </c>
      <c r="M69" s="48">
        <f>0+3</f>
        <v>3</v>
      </c>
      <c r="N69" s="48">
        <f>0+1</f>
        <v>1</v>
      </c>
      <c r="O69" s="48">
        <f t="shared" ref="O69:P69" si="63">0</f>
        <v>0</v>
      </c>
      <c r="P69" s="48">
        <f t="shared" si="63"/>
        <v>0</v>
      </c>
      <c r="Q69" s="98">
        <f t="shared" ref="Q69:Q75" si="68">SUM(I69:P69)</f>
        <v>8</v>
      </c>
      <c r="R69" s="7"/>
      <c r="S69" s="8"/>
    </row>
    <row r="70" ht="14.25" customHeight="1">
      <c r="A70" s="174" t="s">
        <v>148</v>
      </c>
      <c r="B70" s="7"/>
      <c r="C70" s="7"/>
      <c r="D70" s="7"/>
      <c r="E70" s="7"/>
      <c r="F70" s="7"/>
      <c r="G70" s="7"/>
      <c r="H70" s="8"/>
      <c r="I70" s="48">
        <f t="shared" si="64"/>
        <v>1</v>
      </c>
      <c r="J70" s="48">
        <f t="shared" ref="J70:L70" si="65">0</f>
        <v>0</v>
      </c>
      <c r="K70" s="48">
        <f t="shared" si="65"/>
        <v>0</v>
      </c>
      <c r="L70" s="48">
        <f t="shared" si="65"/>
        <v>0</v>
      </c>
      <c r="M70" s="48">
        <f t="shared" ref="M70:N70" si="66">0+1</f>
        <v>1</v>
      </c>
      <c r="N70" s="48">
        <f t="shared" si="66"/>
        <v>1</v>
      </c>
      <c r="O70" s="48">
        <f t="shared" ref="O70:P70" si="67">0</f>
        <v>0</v>
      </c>
      <c r="P70" s="48">
        <f t="shared" si="67"/>
        <v>0</v>
      </c>
      <c r="Q70" s="98">
        <f t="shared" si="68"/>
        <v>3</v>
      </c>
      <c r="R70" s="7"/>
      <c r="S70" s="8"/>
    </row>
    <row r="71" ht="14.25" customHeight="1">
      <c r="A71" s="174" t="s">
        <v>149</v>
      </c>
      <c r="B71" s="7"/>
      <c r="C71" s="7"/>
      <c r="D71" s="7"/>
      <c r="E71" s="7"/>
      <c r="F71" s="7"/>
      <c r="G71" s="7"/>
      <c r="H71" s="8"/>
      <c r="I71" s="48">
        <f t="shared" si="64"/>
        <v>1</v>
      </c>
      <c r="J71" s="48">
        <f>0+2</f>
        <v>2</v>
      </c>
      <c r="K71" s="48">
        <f t="shared" ref="K71:L71" si="69">0</f>
        <v>0</v>
      </c>
      <c r="L71" s="48">
        <f t="shared" si="69"/>
        <v>0</v>
      </c>
      <c r="M71" s="48">
        <f>0+1</f>
        <v>1</v>
      </c>
      <c r="N71" s="48">
        <f t="shared" ref="N71:P71" si="70">0</f>
        <v>0</v>
      </c>
      <c r="O71" s="48">
        <f t="shared" si="70"/>
        <v>0</v>
      </c>
      <c r="P71" s="48">
        <f t="shared" si="70"/>
        <v>0</v>
      </c>
      <c r="Q71" s="98">
        <f t="shared" si="68"/>
        <v>4</v>
      </c>
      <c r="R71" s="7"/>
      <c r="S71" s="8"/>
    </row>
    <row r="72" ht="14.25" customHeight="1">
      <c r="A72" s="174" t="s">
        <v>150</v>
      </c>
      <c r="B72" s="7"/>
      <c r="C72" s="7"/>
      <c r="D72" s="7"/>
      <c r="E72" s="7"/>
      <c r="F72" s="7"/>
      <c r="G72" s="7"/>
      <c r="H72" s="8"/>
      <c r="I72" s="48">
        <f t="shared" si="64"/>
        <v>1</v>
      </c>
      <c r="J72" s="48">
        <f t="shared" ref="J72:K72" si="71">0+1</f>
        <v>1</v>
      </c>
      <c r="K72" s="48">
        <f t="shared" si="71"/>
        <v>1</v>
      </c>
      <c r="L72" s="48">
        <f t="shared" ref="L72:M72" si="72">0+2</f>
        <v>2</v>
      </c>
      <c r="M72" s="48">
        <f t="shared" si="72"/>
        <v>2</v>
      </c>
      <c r="N72" s="48">
        <f>0+1</f>
        <v>1</v>
      </c>
      <c r="O72" s="48">
        <f t="shared" ref="O72:P72" si="73">0</f>
        <v>0</v>
      </c>
      <c r="P72" s="48">
        <f t="shared" si="73"/>
        <v>0</v>
      </c>
      <c r="Q72" s="98">
        <f t="shared" si="68"/>
        <v>8</v>
      </c>
      <c r="R72" s="7"/>
      <c r="S72" s="8"/>
    </row>
    <row r="73" ht="14.25" customHeight="1">
      <c r="A73" s="174" t="s">
        <v>151</v>
      </c>
      <c r="B73" s="7"/>
      <c r="C73" s="7"/>
      <c r="D73" s="7"/>
      <c r="E73" s="7"/>
      <c r="F73" s="7"/>
      <c r="G73" s="7"/>
      <c r="H73" s="8"/>
      <c r="I73" s="48">
        <f t="shared" si="64"/>
        <v>1</v>
      </c>
      <c r="J73" s="48">
        <f t="shared" ref="J73:N73" si="74">0+1</f>
        <v>1</v>
      </c>
      <c r="K73" s="48">
        <f t="shared" si="74"/>
        <v>1</v>
      </c>
      <c r="L73" s="48">
        <f t="shared" si="74"/>
        <v>1</v>
      </c>
      <c r="M73" s="48">
        <f t="shared" si="74"/>
        <v>1</v>
      </c>
      <c r="N73" s="48">
        <f t="shared" si="74"/>
        <v>1</v>
      </c>
      <c r="O73" s="48">
        <f t="shared" ref="O73:P73" si="75">0</f>
        <v>0</v>
      </c>
      <c r="P73" s="48">
        <f t="shared" si="75"/>
        <v>0</v>
      </c>
      <c r="Q73" s="98">
        <f t="shared" si="68"/>
        <v>6</v>
      </c>
      <c r="R73" s="7"/>
      <c r="S73" s="8"/>
    </row>
    <row r="74" ht="14.25" customHeight="1">
      <c r="A74" s="174" t="s">
        <v>152</v>
      </c>
      <c r="B74" s="7"/>
      <c r="C74" s="7"/>
      <c r="D74" s="7"/>
      <c r="E74" s="7"/>
      <c r="F74" s="7"/>
      <c r="G74" s="7"/>
      <c r="H74" s="8"/>
      <c r="I74" s="48">
        <f t="shared" ref="I74:J74" si="76">0+2</f>
        <v>2</v>
      </c>
      <c r="J74" s="48">
        <f t="shared" si="76"/>
        <v>2</v>
      </c>
      <c r="K74" s="48">
        <f>0+1+1</f>
        <v>2</v>
      </c>
      <c r="L74" s="48">
        <f>0+1</f>
        <v>1</v>
      </c>
      <c r="M74" s="48">
        <f>0+2</f>
        <v>2</v>
      </c>
      <c r="N74" s="48">
        <f>0+1+1</f>
        <v>2</v>
      </c>
      <c r="O74" s="48">
        <f t="shared" ref="O74:P74" si="77">0</f>
        <v>0</v>
      </c>
      <c r="P74" s="48">
        <f t="shared" si="77"/>
        <v>0</v>
      </c>
      <c r="Q74" s="98">
        <f t="shared" si="68"/>
        <v>11</v>
      </c>
      <c r="R74" s="7"/>
      <c r="S74" s="8"/>
    </row>
    <row r="75" ht="14.25" customHeight="1">
      <c r="A75" s="174" t="s">
        <v>153</v>
      </c>
      <c r="B75" s="7"/>
      <c r="C75" s="7"/>
      <c r="D75" s="7"/>
      <c r="E75" s="7"/>
      <c r="F75" s="7"/>
      <c r="G75" s="7"/>
      <c r="H75" s="8"/>
      <c r="I75" s="48">
        <f>0+1</f>
        <v>1</v>
      </c>
      <c r="J75" s="48">
        <f>0+2</f>
        <v>2</v>
      </c>
      <c r="K75" s="48">
        <f>0+1</f>
        <v>1</v>
      </c>
      <c r="L75" s="48">
        <f>0</f>
        <v>0</v>
      </c>
      <c r="M75" s="48">
        <f t="shared" ref="M75:N75" si="78">0+1</f>
        <v>1</v>
      </c>
      <c r="N75" s="48">
        <f t="shared" si="78"/>
        <v>1</v>
      </c>
      <c r="O75" s="48">
        <f t="shared" ref="O75:P75" si="79">0</f>
        <v>0</v>
      </c>
      <c r="P75" s="48">
        <f t="shared" si="79"/>
        <v>0</v>
      </c>
      <c r="Q75" s="98">
        <f t="shared" si="68"/>
        <v>6</v>
      </c>
      <c r="R75" s="7"/>
      <c r="S75" s="8"/>
    </row>
    <row r="76" ht="14.25" customHeight="1">
      <c r="A76" s="178"/>
      <c r="B76" s="179"/>
      <c r="C76" s="179"/>
      <c r="D76" s="179"/>
      <c r="E76" s="179"/>
      <c r="F76" s="179"/>
      <c r="G76" s="179"/>
      <c r="H76" s="179"/>
      <c r="I76" s="120"/>
      <c r="J76" s="120"/>
      <c r="K76" s="120"/>
      <c r="L76" s="120"/>
      <c r="M76" s="120"/>
      <c r="N76" s="120"/>
      <c r="O76" s="120"/>
      <c r="P76" s="180"/>
      <c r="Q76" s="181">
        <f>SUM(Q69:S75)</f>
        <v>46</v>
      </c>
      <c r="R76" s="7"/>
      <c r="S76" s="8"/>
    </row>
    <row r="77" ht="14.25" customHeight="1">
      <c r="B77" s="227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</row>
    <row r="78" ht="14.25" customHeight="1">
      <c r="B78" s="227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</row>
    <row r="79" ht="14.25" customHeight="1">
      <c r="A79" s="323" t="s">
        <v>154</v>
      </c>
      <c r="B79" s="37"/>
      <c r="C79" s="37"/>
      <c r="D79" s="37"/>
      <c r="E79" s="37"/>
      <c r="F79" s="37"/>
      <c r="G79" s="37"/>
      <c r="H79" s="37"/>
      <c r="I79" s="37"/>
      <c r="J79" s="38"/>
      <c r="K79" s="324"/>
      <c r="L79" s="290"/>
      <c r="M79" s="290"/>
      <c r="N79" s="290"/>
      <c r="O79" s="290"/>
    </row>
    <row r="80" ht="14.25" customHeight="1">
      <c r="A80" s="237"/>
      <c r="B80" s="325" t="s">
        <v>43</v>
      </c>
      <c r="C80" s="326"/>
      <c r="D80" s="326"/>
      <c r="E80" s="326"/>
      <c r="F80" s="326"/>
      <c r="G80" s="326"/>
      <c r="H80" s="326"/>
      <c r="I80" s="326"/>
      <c r="J80" s="327"/>
      <c r="K80" s="328"/>
      <c r="L80" s="290"/>
      <c r="M80" s="290"/>
      <c r="N80" s="290"/>
      <c r="O80" s="290"/>
    </row>
    <row r="81" ht="14.25" customHeight="1">
      <c r="A81" s="329" t="s">
        <v>3</v>
      </c>
      <c r="B81" s="330" t="s">
        <v>4</v>
      </c>
      <c r="C81" s="331" t="s">
        <v>5</v>
      </c>
      <c r="D81" s="331" t="s">
        <v>6</v>
      </c>
      <c r="E81" s="331" t="s">
        <v>7</v>
      </c>
      <c r="F81" s="331" t="s">
        <v>8</v>
      </c>
      <c r="G81" s="331" t="s">
        <v>9</v>
      </c>
      <c r="H81" s="331" t="s">
        <v>10</v>
      </c>
      <c r="I81" s="331" t="s">
        <v>11</v>
      </c>
      <c r="J81" s="331" t="s">
        <v>12</v>
      </c>
      <c r="K81" s="278" t="s">
        <v>76</v>
      </c>
      <c r="L81" s="290"/>
      <c r="M81" s="290"/>
      <c r="N81" s="290"/>
      <c r="O81" s="290"/>
    </row>
    <row r="82" ht="14.25" customHeight="1">
      <c r="A82" s="253" t="s">
        <v>20</v>
      </c>
      <c r="B82" s="48">
        <f t="shared" ref="B82:G82" si="80">1</f>
        <v>1</v>
      </c>
      <c r="C82" s="48">
        <f t="shared" si="80"/>
        <v>1</v>
      </c>
      <c r="D82" s="48">
        <f t="shared" si="80"/>
        <v>1</v>
      </c>
      <c r="E82" s="48">
        <f t="shared" si="80"/>
        <v>1</v>
      </c>
      <c r="F82" s="48">
        <f t="shared" si="80"/>
        <v>1</v>
      </c>
      <c r="G82" s="48">
        <f t="shared" si="80"/>
        <v>1</v>
      </c>
      <c r="H82" s="48">
        <f t="shared" ref="H82:J82" si="81">0</f>
        <v>0</v>
      </c>
      <c r="I82" s="48">
        <f t="shared" si="81"/>
        <v>0</v>
      </c>
      <c r="J82" s="48">
        <f t="shared" si="81"/>
        <v>0</v>
      </c>
      <c r="K82" s="332">
        <f t="shared" ref="K82:K84" si="84">SUM(B82:J82)</f>
        <v>6</v>
      </c>
      <c r="L82" s="290"/>
      <c r="M82" s="290"/>
      <c r="N82" s="290"/>
      <c r="O82" s="290"/>
    </row>
    <row r="83" ht="14.25" customHeight="1">
      <c r="A83" s="253" t="s">
        <v>133</v>
      </c>
      <c r="B83" s="48">
        <f>SUM(1)</f>
        <v>1</v>
      </c>
      <c r="C83" s="48">
        <f t="shared" ref="C83:E83" si="82">0</f>
        <v>0</v>
      </c>
      <c r="D83" s="48">
        <f t="shared" si="82"/>
        <v>0</v>
      </c>
      <c r="E83" s="48">
        <f t="shared" si="82"/>
        <v>0</v>
      </c>
      <c r="F83" s="48">
        <f>1+1</f>
        <v>2</v>
      </c>
      <c r="G83" s="48">
        <f>0+1</f>
        <v>1</v>
      </c>
      <c r="H83" s="48">
        <f t="shared" ref="H83:J83" si="83">0</f>
        <v>0</v>
      </c>
      <c r="I83" s="48">
        <f t="shared" si="83"/>
        <v>0</v>
      </c>
      <c r="J83" s="48">
        <f t="shared" si="83"/>
        <v>0</v>
      </c>
      <c r="K83" s="332">
        <f t="shared" si="84"/>
        <v>4</v>
      </c>
      <c r="L83" s="290"/>
      <c r="M83" s="290"/>
      <c r="N83" s="290"/>
      <c r="O83" s="290"/>
    </row>
    <row r="84" ht="14.25" customHeight="1">
      <c r="A84" s="253" t="s">
        <v>13</v>
      </c>
      <c r="B84" s="48">
        <f>0</f>
        <v>0</v>
      </c>
      <c r="C84" s="48">
        <f>SUM(1)</f>
        <v>1</v>
      </c>
      <c r="D84" s="48">
        <f>SUM(0)</f>
        <v>0</v>
      </c>
      <c r="E84" s="48">
        <f>1</f>
        <v>1</v>
      </c>
      <c r="F84" s="48">
        <f t="shared" ref="F84:J84" si="85">0</f>
        <v>0</v>
      </c>
      <c r="G84" s="48">
        <f t="shared" si="85"/>
        <v>0</v>
      </c>
      <c r="H84" s="48">
        <f t="shared" si="85"/>
        <v>0</v>
      </c>
      <c r="I84" s="48">
        <f t="shared" si="85"/>
        <v>0</v>
      </c>
      <c r="J84" s="48">
        <f t="shared" si="85"/>
        <v>0</v>
      </c>
      <c r="K84" s="332">
        <f t="shared" si="84"/>
        <v>2</v>
      </c>
      <c r="L84" s="290"/>
      <c r="M84" s="290"/>
      <c r="N84" s="290"/>
      <c r="O84" s="290"/>
    </row>
    <row r="85" ht="14.25" customHeight="1">
      <c r="A85" s="237"/>
      <c r="B85" s="328"/>
      <c r="C85" s="328"/>
      <c r="D85" s="328"/>
      <c r="E85" s="328"/>
      <c r="F85" s="328"/>
      <c r="G85" s="328"/>
      <c r="H85" s="328"/>
      <c r="I85" s="328"/>
      <c r="J85" s="328"/>
      <c r="K85" s="333">
        <f>SUM(K82:K84)</f>
        <v>12</v>
      </c>
      <c r="L85" s="290"/>
      <c r="M85" s="290"/>
      <c r="N85" s="290"/>
      <c r="O85" s="290"/>
    </row>
    <row r="86" ht="14.25" customHeight="1">
      <c r="B86" s="227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</row>
    <row r="87" ht="14.25" customHeight="1">
      <c r="A87" s="323" t="s">
        <v>155</v>
      </c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34"/>
      <c r="M87" s="290"/>
      <c r="N87" s="290"/>
      <c r="O87" s="290"/>
    </row>
    <row r="88" ht="14.25" customHeight="1">
      <c r="A88" s="237"/>
      <c r="B88" s="335" t="s">
        <v>43</v>
      </c>
      <c r="C88" s="37"/>
      <c r="D88" s="37"/>
      <c r="E88" s="37"/>
      <c r="F88" s="37"/>
      <c r="G88" s="37"/>
      <c r="H88" s="37"/>
      <c r="I88" s="37"/>
      <c r="J88" s="37"/>
      <c r="K88" s="336"/>
      <c r="L88" s="328"/>
      <c r="M88" s="290"/>
      <c r="N88" s="290"/>
      <c r="O88" s="290"/>
    </row>
    <row r="89" ht="14.25" customHeight="1">
      <c r="A89" s="329" t="s">
        <v>3</v>
      </c>
      <c r="B89" s="330" t="s">
        <v>156</v>
      </c>
      <c r="C89" s="330" t="s">
        <v>4</v>
      </c>
      <c r="D89" s="331" t="s">
        <v>5</v>
      </c>
      <c r="E89" s="331" t="s">
        <v>6</v>
      </c>
      <c r="F89" s="331" t="s">
        <v>7</v>
      </c>
      <c r="G89" s="331" t="s">
        <v>8</v>
      </c>
      <c r="H89" s="331" t="s">
        <v>9</v>
      </c>
      <c r="I89" s="331" t="s">
        <v>10</v>
      </c>
      <c r="J89" s="331" t="s">
        <v>11</v>
      </c>
      <c r="K89" s="331" t="s">
        <v>12</v>
      </c>
      <c r="L89" s="278" t="s">
        <v>76</v>
      </c>
      <c r="M89" s="290"/>
      <c r="N89" s="290"/>
      <c r="O89" s="290"/>
    </row>
    <row r="90" ht="14.25" customHeight="1">
      <c r="A90" s="337" t="s">
        <v>157</v>
      </c>
      <c r="B90" s="338">
        <f t="shared" ref="B90:B91" si="87">0</f>
        <v>0</v>
      </c>
      <c r="C90" s="338">
        <f t="shared" ref="C90:C91" si="88">0+1</f>
        <v>1</v>
      </c>
      <c r="D90" s="338">
        <f>0+2</f>
        <v>2</v>
      </c>
      <c r="E90" s="338">
        <f>0+2+1</f>
        <v>3</v>
      </c>
      <c r="F90" s="338">
        <f t="shared" ref="F90:I90" si="86">0+2</f>
        <v>2</v>
      </c>
      <c r="G90" s="338">
        <f t="shared" si="86"/>
        <v>2</v>
      </c>
      <c r="H90" s="338">
        <f t="shared" si="86"/>
        <v>2</v>
      </c>
      <c r="I90" s="338">
        <f t="shared" si="86"/>
        <v>2</v>
      </c>
      <c r="J90" s="338">
        <f>1</f>
        <v>1</v>
      </c>
      <c r="K90" s="338">
        <f t="shared" ref="K90:K91" si="90">0</f>
        <v>0</v>
      </c>
      <c r="L90" s="339">
        <f t="shared" ref="L90:L91" si="91">SUM(B90:K90)</f>
        <v>15</v>
      </c>
      <c r="M90" s="290"/>
      <c r="N90" s="290"/>
      <c r="O90" s="290"/>
    </row>
    <row r="91" ht="14.25" customHeight="1">
      <c r="A91" s="337" t="s">
        <v>158</v>
      </c>
      <c r="B91" s="338">
        <f t="shared" si="87"/>
        <v>0</v>
      </c>
      <c r="C91" s="338">
        <f t="shared" si="88"/>
        <v>1</v>
      </c>
      <c r="D91" s="338">
        <f>0</f>
        <v>0</v>
      </c>
      <c r="E91" s="338">
        <f t="shared" ref="E91:J91" si="89">0+1</f>
        <v>1</v>
      </c>
      <c r="F91" s="338">
        <f t="shared" si="89"/>
        <v>1</v>
      </c>
      <c r="G91" s="338">
        <f t="shared" si="89"/>
        <v>1</v>
      </c>
      <c r="H91" s="338">
        <f t="shared" si="89"/>
        <v>1</v>
      </c>
      <c r="I91" s="338">
        <f t="shared" si="89"/>
        <v>1</v>
      </c>
      <c r="J91" s="338">
        <f t="shared" si="89"/>
        <v>1</v>
      </c>
      <c r="K91" s="338">
        <f t="shared" si="90"/>
        <v>0</v>
      </c>
      <c r="L91" s="339">
        <f t="shared" si="91"/>
        <v>7</v>
      </c>
      <c r="M91" s="290"/>
      <c r="N91" s="290"/>
      <c r="O91" s="290"/>
    </row>
    <row r="92" ht="14.25" customHeight="1">
      <c r="A92" s="237"/>
      <c r="B92" s="328"/>
      <c r="C92" s="328"/>
      <c r="D92" s="328"/>
      <c r="E92" s="328"/>
      <c r="F92" s="328"/>
      <c r="G92" s="328"/>
      <c r="H92" s="328"/>
      <c r="I92" s="328"/>
      <c r="J92" s="328"/>
      <c r="K92" s="340"/>
      <c r="L92" s="333">
        <f>SUM(L90:L91)</f>
        <v>22</v>
      </c>
      <c r="M92" s="290"/>
      <c r="N92" s="290"/>
      <c r="O92" s="290"/>
    </row>
    <row r="93" ht="14.25" customHeight="1">
      <c r="B93" s="227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</row>
    <row r="94" ht="14.25" customHeight="1">
      <c r="B94" s="227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</row>
    <row r="95" ht="14.25" customHeight="1">
      <c r="A95" s="323" t="s">
        <v>159</v>
      </c>
      <c r="B95" s="37"/>
      <c r="C95" s="37"/>
      <c r="D95" s="37"/>
      <c r="E95" s="37"/>
      <c r="F95" s="37"/>
      <c r="G95" s="37"/>
      <c r="H95" s="37"/>
      <c r="I95" s="37"/>
      <c r="J95" s="37"/>
      <c r="K95" s="336"/>
      <c r="L95" s="324"/>
      <c r="M95" s="290"/>
      <c r="N95" s="290"/>
      <c r="O95" s="290"/>
    </row>
    <row r="96" ht="14.25" customHeight="1">
      <c r="A96" s="237"/>
      <c r="B96" s="335" t="s">
        <v>43</v>
      </c>
      <c r="C96" s="37"/>
      <c r="D96" s="37"/>
      <c r="E96" s="37"/>
      <c r="F96" s="37"/>
      <c r="G96" s="37"/>
      <c r="H96" s="37"/>
      <c r="I96" s="37"/>
      <c r="J96" s="37"/>
      <c r="K96" s="38"/>
      <c r="L96" s="328"/>
      <c r="M96" s="290"/>
      <c r="N96" s="290"/>
      <c r="O96" s="290"/>
    </row>
    <row r="97" ht="14.25" customHeight="1">
      <c r="A97" s="329" t="s">
        <v>3</v>
      </c>
      <c r="B97" s="330" t="s">
        <v>156</v>
      </c>
      <c r="C97" s="330" t="s">
        <v>4</v>
      </c>
      <c r="D97" s="331" t="s">
        <v>5</v>
      </c>
      <c r="E97" s="331" t="s">
        <v>6</v>
      </c>
      <c r="F97" s="331" t="s">
        <v>7</v>
      </c>
      <c r="G97" s="331" t="s">
        <v>8</v>
      </c>
      <c r="H97" s="331" t="s">
        <v>9</v>
      </c>
      <c r="I97" s="331" t="s">
        <v>10</v>
      </c>
      <c r="J97" s="331" t="s">
        <v>11</v>
      </c>
      <c r="K97" s="331" t="s">
        <v>12</v>
      </c>
      <c r="L97" s="278" t="s">
        <v>76</v>
      </c>
      <c r="M97" s="290"/>
      <c r="N97" s="290"/>
      <c r="O97" s="290"/>
    </row>
    <row r="98" ht="14.25" customHeight="1">
      <c r="A98" s="337" t="s">
        <v>157</v>
      </c>
      <c r="B98" s="48">
        <f t="shared" ref="B98:B99" si="94">0</f>
        <v>0</v>
      </c>
      <c r="C98" s="48">
        <f t="shared" ref="C98:D98" si="92">0+1</f>
        <v>1</v>
      </c>
      <c r="D98" s="48">
        <f t="shared" si="92"/>
        <v>1</v>
      </c>
      <c r="E98" s="48">
        <f>0+1+1</f>
        <v>2</v>
      </c>
      <c r="F98" s="48">
        <f>0+1+2</f>
        <v>3</v>
      </c>
      <c r="G98" s="48">
        <f t="shared" ref="G98:I98" si="93">0+1+1</f>
        <v>2</v>
      </c>
      <c r="H98" s="48">
        <f t="shared" si="93"/>
        <v>2</v>
      </c>
      <c r="I98" s="48">
        <f t="shared" si="93"/>
        <v>2</v>
      </c>
      <c r="J98" s="48">
        <f>0+1</f>
        <v>1</v>
      </c>
      <c r="K98" s="48">
        <f t="shared" ref="K98:K99" si="97">0</f>
        <v>0</v>
      </c>
      <c r="L98" s="332">
        <f t="shared" ref="L98:L99" si="98">SUM(B98:K98)</f>
        <v>14</v>
      </c>
      <c r="M98" s="290"/>
      <c r="N98" s="290"/>
      <c r="O98" s="290"/>
    </row>
    <row r="99" ht="14.25" customHeight="1">
      <c r="A99" s="337" t="s">
        <v>158</v>
      </c>
      <c r="B99" s="48">
        <f t="shared" si="94"/>
        <v>0</v>
      </c>
      <c r="C99" s="48">
        <f t="shared" ref="C99:G99" si="95">0+1</f>
        <v>1</v>
      </c>
      <c r="D99" s="48">
        <f t="shared" si="95"/>
        <v>1</v>
      </c>
      <c r="E99" s="48">
        <f t="shared" si="95"/>
        <v>1</v>
      </c>
      <c r="F99" s="48">
        <f t="shared" si="95"/>
        <v>1</v>
      </c>
      <c r="G99" s="48">
        <f t="shared" si="95"/>
        <v>1</v>
      </c>
      <c r="H99" s="48">
        <f>0</f>
        <v>0</v>
      </c>
      <c r="I99" s="48">
        <f t="shared" ref="I99:J99" si="96">0+1</f>
        <v>1</v>
      </c>
      <c r="J99" s="48">
        <f t="shared" si="96"/>
        <v>1</v>
      </c>
      <c r="K99" s="48">
        <f t="shared" si="97"/>
        <v>0</v>
      </c>
      <c r="L99" s="332">
        <f t="shared" si="98"/>
        <v>7</v>
      </c>
      <c r="M99" s="290"/>
      <c r="N99" s="290"/>
      <c r="O99" s="290"/>
    </row>
    <row r="100" ht="14.25" customHeight="1">
      <c r="A100" s="341"/>
      <c r="B100" s="342"/>
      <c r="C100" s="342"/>
      <c r="D100" s="342"/>
      <c r="E100" s="342"/>
      <c r="F100" s="342"/>
      <c r="G100" s="342"/>
      <c r="H100" s="342"/>
      <c r="I100" s="342"/>
      <c r="J100" s="342"/>
      <c r="K100" s="343"/>
      <c r="L100" s="49">
        <f>SUM(L98:L99)</f>
        <v>21</v>
      </c>
      <c r="M100" s="290"/>
      <c r="N100" s="290"/>
      <c r="O100" s="290"/>
    </row>
    <row r="101" ht="14.25" customHeight="1">
      <c r="B101" s="227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</row>
    <row r="102" ht="14.25" customHeight="1">
      <c r="A102" s="323" t="s">
        <v>160</v>
      </c>
      <c r="B102" s="37"/>
      <c r="C102" s="37"/>
      <c r="D102" s="37"/>
      <c r="E102" s="37"/>
      <c r="F102" s="37"/>
      <c r="G102" s="37"/>
      <c r="H102" s="37"/>
      <c r="I102" s="37"/>
      <c r="J102" s="38"/>
      <c r="K102" s="324"/>
      <c r="L102" s="290"/>
      <c r="M102" s="290"/>
      <c r="N102" s="290"/>
      <c r="O102" s="290"/>
    </row>
    <row r="103" ht="14.25" customHeight="1">
      <c r="A103" s="237"/>
      <c r="B103" s="325" t="s">
        <v>43</v>
      </c>
      <c r="C103" s="326"/>
      <c r="D103" s="326"/>
      <c r="E103" s="326"/>
      <c r="F103" s="326"/>
      <c r="G103" s="326"/>
      <c r="H103" s="326"/>
      <c r="I103" s="326"/>
      <c r="J103" s="327"/>
      <c r="K103" s="328"/>
      <c r="L103" s="290"/>
      <c r="M103" s="290"/>
      <c r="N103" s="290"/>
      <c r="O103" s="290"/>
    </row>
    <row r="104" ht="14.25" customHeight="1">
      <c r="A104" s="329" t="s">
        <v>3</v>
      </c>
      <c r="B104" s="344" t="s">
        <v>4</v>
      </c>
      <c r="C104" s="345" t="s">
        <v>5</v>
      </c>
      <c r="D104" s="345" t="s">
        <v>6</v>
      </c>
      <c r="E104" s="345" t="s">
        <v>7</v>
      </c>
      <c r="F104" s="345" t="s">
        <v>8</v>
      </c>
      <c r="G104" s="345" t="s">
        <v>9</v>
      </c>
      <c r="H104" s="345" t="s">
        <v>10</v>
      </c>
      <c r="I104" s="345" t="s">
        <v>11</v>
      </c>
      <c r="J104" s="345" t="s">
        <v>12</v>
      </c>
      <c r="K104" s="278" t="s">
        <v>76</v>
      </c>
      <c r="L104" s="290"/>
      <c r="M104" s="290"/>
      <c r="N104" s="290"/>
      <c r="O104" s="290"/>
    </row>
    <row r="105" ht="14.25" customHeight="1">
      <c r="A105" s="253" t="s">
        <v>20</v>
      </c>
      <c r="B105" s="346">
        <f>0+1+1</f>
        <v>2</v>
      </c>
      <c r="C105" s="346">
        <f t="shared" ref="C105:C106" si="101">0</f>
        <v>0</v>
      </c>
      <c r="D105" s="346">
        <f t="shared" ref="D105:F105" si="99">0+1</f>
        <v>1</v>
      </c>
      <c r="E105" s="346">
        <f t="shared" si="99"/>
        <v>1</v>
      </c>
      <c r="F105" s="346">
        <f t="shared" si="99"/>
        <v>1</v>
      </c>
      <c r="G105" s="346">
        <f t="shared" ref="G105:J105" si="100">0</f>
        <v>0</v>
      </c>
      <c r="H105" s="346">
        <f t="shared" si="100"/>
        <v>0</v>
      </c>
      <c r="I105" s="346">
        <f t="shared" si="100"/>
        <v>0</v>
      </c>
      <c r="J105" s="346">
        <f t="shared" si="100"/>
        <v>0</v>
      </c>
      <c r="K105" s="332">
        <f t="shared" ref="K105:K106" si="104">SUM(B105:J105)</f>
        <v>5</v>
      </c>
      <c r="L105" s="290"/>
      <c r="M105" s="290"/>
      <c r="N105" s="290"/>
      <c r="O105" s="290"/>
    </row>
    <row r="106" ht="14.25" customHeight="1">
      <c r="A106" s="253" t="s">
        <v>133</v>
      </c>
      <c r="B106" s="346">
        <f>0+1</f>
        <v>1</v>
      </c>
      <c r="C106" s="346">
        <f t="shared" si="101"/>
        <v>0</v>
      </c>
      <c r="D106" s="346">
        <f t="shared" ref="D106:E106" si="102">0+1</f>
        <v>1</v>
      </c>
      <c r="E106" s="346">
        <f t="shared" si="102"/>
        <v>1</v>
      </c>
      <c r="F106" s="346">
        <f>0+2</f>
        <v>2</v>
      </c>
      <c r="G106" s="346">
        <f>0+1</f>
        <v>1</v>
      </c>
      <c r="H106" s="346">
        <f t="shared" ref="H106:J106" si="103">0</f>
        <v>0</v>
      </c>
      <c r="I106" s="346">
        <f t="shared" si="103"/>
        <v>0</v>
      </c>
      <c r="J106" s="346">
        <f t="shared" si="103"/>
        <v>0</v>
      </c>
      <c r="K106" s="332">
        <f t="shared" si="104"/>
        <v>6</v>
      </c>
      <c r="L106" s="290"/>
      <c r="M106" s="290"/>
      <c r="N106" s="290"/>
      <c r="O106" s="290"/>
    </row>
    <row r="107" ht="14.25" customHeight="1">
      <c r="A107" s="237"/>
      <c r="B107" s="328"/>
      <c r="C107" s="328"/>
      <c r="D107" s="328"/>
      <c r="E107" s="328"/>
      <c r="F107" s="328"/>
      <c r="G107" s="328"/>
      <c r="H107" s="328"/>
      <c r="I107" s="328"/>
      <c r="J107" s="328"/>
      <c r="K107" s="333">
        <f>SUM(K105:K106)</f>
        <v>11</v>
      </c>
      <c r="L107" s="290"/>
      <c r="M107" s="290"/>
      <c r="N107" s="290"/>
      <c r="O107" s="290"/>
    </row>
    <row r="108" ht="14.25" customHeight="1">
      <c r="B108" s="227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</row>
    <row r="109" ht="14.25" customHeight="1">
      <c r="A109" s="323" t="s">
        <v>161</v>
      </c>
      <c r="B109" s="37"/>
      <c r="C109" s="37"/>
      <c r="D109" s="37"/>
      <c r="E109" s="37"/>
      <c r="F109" s="37"/>
      <c r="G109" s="37"/>
      <c r="H109" s="37"/>
      <c r="I109" s="37"/>
      <c r="J109" s="38"/>
      <c r="K109" s="324"/>
      <c r="L109" s="290"/>
      <c r="M109" s="290"/>
      <c r="N109" s="290"/>
      <c r="O109" s="290"/>
    </row>
    <row r="110" ht="14.25" customHeight="1">
      <c r="A110" s="237"/>
      <c r="B110" s="325" t="s">
        <v>43</v>
      </c>
      <c r="C110" s="326"/>
      <c r="D110" s="326"/>
      <c r="E110" s="326"/>
      <c r="F110" s="326"/>
      <c r="G110" s="326"/>
      <c r="H110" s="326"/>
      <c r="I110" s="326"/>
      <c r="J110" s="327"/>
      <c r="K110" s="328"/>
      <c r="L110" s="290"/>
      <c r="M110" s="290"/>
      <c r="N110" s="290"/>
      <c r="O110" s="290"/>
    </row>
    <row r="111" ht="14.25" customHeight="1">
      <c r="A111" s="329" t="s">
        <v>3</v>
      </c>
      <c r="B111" s="344" t="s">
        <v>4</v>
      </c>
      <c r="C111" s="345" t="s">
        <v>5</v>
      </c>
      <c r="D111" s="345" t="s">
        <v>6</v>
      </c>
      <c r="E111" s="345" t="s">
        <v>7</v>
      </c>
      <c r="F111" s="345" t="s">
        <v>8</v>
      </c>
      <c r="G111" s="345" t="s">
        <v>9</v>
      </c>
      <c r="H111" s="345" t="s">
        <v>10</v>
      </c>
      <c r="I111" s="345" t="s">
        <v>11</v>
      </c>
      <c r="J111" s="345" t="s">
        <v>12</v>
      </c>
      <c r="K111" s="278" t="s">
        <v>76</v>
      </c>
      <c r="L111" s="290"/>
      <c r="M111" s="290"/>
      <c r="N111" s="290"/>
      <c r="O111" s="290"/>
    </row>
    <row r="112" ht="14.25" customHeight="1">
      <c r="A112" s="253" t="s">
        <v>158</v>
      </c>
      <c r="B112" s="346">
        <f>0</f>
        <v>0</v>
      </c>
      <c r="C112" s="346">
        <f>2</f>
        <v>2</v>
      </c>
      <c r="D112" s="346">
        <f>0+1</f>
        <v>1</v>
      </c>
      <c r="E112" s="346">
        <f t="shared" ref="E112:J112" si="105">0</f>
        <v>0</v>
      </c>
      <c r="F112" s="346">
        <f t="shared" si="105"/>
        <v>0</v>
      </c>
      <c r="G112" s="346">
        <f t="shared" si="105"/>
        <v>0</v>
      </c>
      <c r="H112" s="346">
        <f t="shared" si="105"/>
        <v>0</v>
      </c>
      <c r="I112" s="346">
        <f t="shared" si="105"/>
        <v>0</v>
      </c>
      <c r="J112" s="346">
        <f t="shared" si="105"/>
        <v>0</v>
      </c>
      <c r="K112" s="332">
        <f t="shared" ref="K112:K113" si="109">SUM(B112:J112)</f>
        <v>3</v>
      </c>
      <c r="L112" s="290"/>
      <c r="M112" s="290"/>
      <c r="N112" s="290"/>
      <c r="O112" s="290"/>
    </row>
    <row r="113" ht="14.25" customHeight="1">
      <c r="A113" s="253" t="s">
        <v>157</v>
      </c>
      <c r="B113" s="346">
        <f t="shared" ref="B113:C113" si="106">0+1</f>
        <v>1</v>
      </c>
      <c r="C113" s="346">
        <f t="shared" si="106"/>
        <v>1</v>
      </c>
      <c r="D113" s="346">
        <f>0+2</f>
        <v>2</v>
      </c>
      <c r="E113" s="346">
        <f>0+1</f>
        <v>1</v>
      </c>
      <c r="F113" s="346">
        <f t="shared" ref="F113:G113" si="107">0</f>
        <v>0</v>
      </c>
      <c r="G113" s="346">
        <f t="shared" si="107"/>
        <v>0</v>
      </c>
      <c r="H113" s="346">
        <f t="shared" ref="H113:I113" si="108">0+1</f>
        <v>1</v>
      </c>
      <c r="I113" s="346">
        <f t="shared" si="108"/>
        <v>1</v>
      </c>
      <c r="J113" s="346">
        <f>0</f>
        <v>0</v>
      </c>
      <c r="K113" s="332">
        <f t="shared" si="109"/>
        <v>7</v>
      </c>
      <c r="L113" s="290"/>
      <c r="M113" s="290"/>
      <c r="N113" s="290"/>
      <c r="O113" s="290"/>
    </row>
    <row r="114" ht="14.25" customHeight="1">
      <c r="A114" s="237"/>
      <c r="B114" s="328"/>
      <c r="C114" s="328"/>
      <c r="D114" s="328"/>
      <c r="E114" s="328"/>
      <c r="F114" s="328"/>
      <c r="G114" s="328"/>
      <c r="H114" s="328"/>
      <c r="I114" s="328"/>
      <c r="J114" s="328"/>
      <c r="K114" s="333">
        <f>SUM(K112:K113)</f>
        <v>10</v>
      </c>
      <c r="L114" s="290"/>
      <c r="M114" s="290"/>
      <c r="N114" s="290"/>
      <c r="O114" s="290"/>
    </row>
    <row r="115" ht="14.25" customHeight="1">
      <c r="B115" s="227"/>
      <c r="C115" s="290"/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290"/>
    </row>
    <row r="116" ht="14.25" customHeight="1">
      <c r="B116" s="2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</row>
    <row r="117" ht="14.25" customHeight="1">
      <c r="B117" s="227"/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</row>
    <row r="118" ht="14.25" customHeight="1">
      <c r="B118" s="227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</row>
    <row r="119" ht="14.25" customHeight="1">
      <c r="B119" s="227"/>
      <c r="C119" s="290"/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</row>
    <row r="120" ht="14.25" customHeight="1">
      <c r="B120" s="227"/>
      <c r="C120" s="290"/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</row>
    <row r="121" ht="14.25" customHeight="1">
      <c r="B121" s="227"/>
      <c r="C121" s="290"/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</row>
    <row r="122" ht="14.25" customHeight="1">
      <c r="B122" s="227"/>
      <c r="C122" s="290"/>
      <c r="D122" s="290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</row>
    <row r="123" ht="14.25" customHeight="1">
      <c r="B123" s="227"/>
      <c r="C123" s="290"/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</row>
    <row r="124" ht="14.25" customHeight="1">
      <c r="B124" s="227"/>
      <c r="C124" s="290"/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</row>
    <row r="125" ht="14.25" customHeight="1">
      <c r="B125" s="227"/>
      <c r="C125" s="290"/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</row>
    <row r="126" ht="14.25" customHeight="1">
      <c r="B126" s="227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</row>
    <row r="127" ht="14.25" customHeight="1">
      <c r="B127" s="227"/>
      <c r="C127" s="290"/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</row>
    <row r="128" ht="14.25" customHeight="1">
      <c r="B128" s="227"/>
      <c r="C128" s="290"/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</row>
    <row r="129" ht="14.25" customHeight="1">
      <c r="B129" s="227"/>
      <c r="C129" s="290"/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</row>
    <row r="130" ht="14.25" customHeight="1">
      <c r="B130" s="227"/>
      <c r="C130" s="290"/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</row>
    <row r="131" ht="14.25" customHeight="1">
      <c r="B131" s="227"/>
      <c r="C131" s="290"/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</row>
    <row r="132" ht="14.25" customHeight="1">
      <c r="B132" s="227"/>
      <c r="C132" s="290"/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</row>
    <row r="133" ht="14.25" customHeight="1">
      <c r="B133" s="227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</row>
    <row r="134" ht="14.25" customHeight="1">
      <c r="B134" s="227"/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</row>
    <row r="135" ht="14.25" customHeight="1">
      <c r="B135" s="227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</row>
    <row r="136" ht="14.25" customHeight="1">
      <c r="B136" s="227"/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  <c r="M136" s="290"/>
      <c r="N136" s="290"/>
      <c r="O136" s="290"/>
    </row>
    <row r="137" ht="14.25" customHeight="1">
      <c r="B137" s="227"/>
      <c r="C137" s="290"/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</row>
    <row r="138" ht="14.25" customHeight="1">
      <c r="B138" s="227"/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</row>
    <row r="139" ht="14.25" customHeight="1">
      <c r="B139" s="227"/>
      <c r="C139" s="290"/>
      <c r="D139" s="290"/>
      <c r="E139" s="290"/>
      <c r="F139" s="290"/>
      <c r="G139" s="290"/>
      <c r="H139" s="290"/>
      <c r="I139" s="290"/>
      <c r="J139" s="290"/>
      <c r="K139" s="290"/>
      <c r="L139" s="290"/>
      <c r="M139" s="290"/>
      <c r="N139" s="290"/>
      <c r="O139" s="290"/>
    </row>
    <row r="140" ht="14.25" customHeight="1">
      <c r="B140" s="227"/>
      <c r="C140" s="290"/>
      <c r="D140" s="290"/>
      <c r="E140" s="290"/>
      <c r="F140" s="290"/>
      <c r="G140" s="290"/>
      <c r="H140" s="290"/>
      <c r="I140" s="290"/>
      <c r="J140" s="290"/>
      <c r="K140" s="290"/>
      <c r="L140" s="290"/>
      <c r="M140" s="290"/>
      <c r="N140" s="290"/>
      <c r="O140" s="290"/>
    </row>
    <row r="141" ht="14.25" customHeight="1">
      <c r="B141" s="227"/>
      <c r="C141" s="290"/>
      <c r="D141" s="290"/>
      <c r="E141" s="290"/>
      <c r="F141" s="290"/>
      <c r="G141" s="290"/>
      <c r="H141" s="290"/>
      <c r="I141" s="290"/>
      <c r="J141" s="290"/>
      <c r="K141" s="290"/>
      <c r="L141" s="290"/>
      <c r="M141" s="290"/>
      <c r="N141" s="290"/>
      <c r="O141" s="290"/>
    </row>
    <row r="142" ht="14.25" customHeight="1">
      <c r="B142" s="227"/>
      <c r="C142" s="290"/>
      <c r="D142" s="290"/>
      <c r="E142" s="290"/>
      <c r="F142" s="290"/>
      <c r="G142" s="290"/>
      <c r="H142" s="290"/>
      <c r="I142" s="290"/>
      <c r="J142" s="290"/>
      <c r="K142" s="290"/>
      <c r="L142" s="290"/>
      <c r="M142" s="290"/>
      <c r="N142" s="290"/>
      <c r="O142" s="290"/>
    </row>
    <row r="143" ht="14.25" customHeight="1">
      <c r="B143" s="227"/>
      <c r="C143" s="290"/>
      <c r="D143" s="290"/>
      <c r="E143" s="290"/>
      <c r="F143" s="290"/>
      <c r="G143" s="290"/>
      <c r="H143" s="290"/>
      <c r="I143" s="290"/>
      <c r="J143" s="290"/>
      <c r="K143" s="290"/>
      <c r="L143" s="290"/>
      <c r="M143" s="290"/>
      <c r="N143" s="290"/>
      <c r="O143" s="290"/>
    </row>
    <row r="144" ht="14.25" customHeight="1">
      <c r="B144" s="227"/>
      <c r="C144" s="290"/>
      <c r="D144" s="290"/>
      <c r="E144" s="290"/>
      <c r="F144" s="290"/>
      <c r="G144" s="290"/>
      <c r="H144" s="290"/>
      <c r="I144" s="290"/>
      <c r="J144" s="290"/>
      <c r="K144" s="290"/>
      <c r="L144" s="290"/>
      <c r="M144" s="290"/>
      <c r="N144" s="290"/>
      <c r="O144" s="290"/>
    </row>
    <row r="145" ht="14.25" customHeight="1">
      <c r="B145" s="227"/>
      <c r="C145" s="290"/>
      <c r="D145" s="290"/>
      <c r="E145" s="290"/>
      <c r="F145" s="290"/>
      <c r="G145" s="290"/>
      <c r="H145" s="290"/>
      <c r="I145" s="290"/>
      <c r="J145" s="290"/>
      <c r="K145" s="290"/>
      <c r="L145" s="290"/>
      <c r="M145" s="290"/>
      <c r="N145" s="290"/>
      <c r="O145" s="290"/>
    </row>
    <row r="146" ht="14.25" customHeight="1">
      <c r="B146" s="227"/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</row>
    <row r="147" ht="14.25" customHeight="1">
      <c r="B147" s="227"/>
      <c r="C147" s="290"/>
      <c r="D147" s="290"/>
      <c r="E147" s="290"/>
      <c r="F147" s="290"/>
      <c r="G147" s="290"/>
      <c r="H147" s="290"/>
      <c r="I147" s="290"/>
      <c r="J147" s="290"/>
      <c r="K147" s="290"/>
      <c r="L147" s="290"/>
      <c r="M147" s="290"/>
      <c r="N147" s="290"/>
      <c r="O147" s="290"/>
    </row>
    <row r="148" ht="14.25" customHeight="1">
      <c r="B148" s="227"/>
      <c r="C148" s="290"/>
      <c r="D148" s="290"/>
      <c r="E148" s="290"/>
      <c r="F148" s="290"/>
      <c r="G148" s="290"/>
      <c r="H148" s="290"/>
      <c r="I148" s="290"/>
      <c r="J148" s="290"/>
      <c r="K148" s="290"/>
      <c r="L148" s="290"/>
      <c r="M148" s="290"/>
      <c r="N148" s="290"/>
      <c r="O148" s="290"/>
    </row>
    <row r="149" ht="14.25" customHeight="1">
      <c r="B149" s="227"/>
      <c r="C149" s="290"/>
      <c r="D149" s="290"/>
      <c r="E149" s="290"/>
      <c r="F149" s="290"/>
      <c r="G149" s="290"/>
      <c r="H149" s="290"/>
      <c r="I149" s="290"/>
      <c r="J149" s="290"/>
      <c r="K149" s="290"/>
      <c r="L149" s="290"/>
      <c r="M149" s="290"/>
      <c r="N149" s="290"/>
      <c r="O149" s="290"/>
    </row>
    <row r="150" ht="14.25" customHeight="1">
      <c r="B150" s="227"/>
      <c r="C150" s="290"/>
      <c r="D150" s="290"/>
      <c r="E150" s="290"/>
      <c r="F150" s="290"/>
      <c r="G150" s="290"/>
      <c r="H150" s="290"/>
      <c r="I150" s="290"/>
      <c r="J150" s="290"/>
      <c r="K150" s="290"/>
      <c r="L150" s="290"/>
      <c r="M150" s="290"/>
      <c r="N150" s="290"/>
      <c r="O150" s="290"/>
    </row>
    <row r="151" ht="14.25" customHeight="1">
      <c r="B151" s="227"/>
      <c r="C151" s="290"/>
      <c r="D151" s="290"/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</row>
    <row r="152" ht="14.25" customHeight="1">
      <c r="B152" s="227"/>
      <c r="C152" s="290"/>
      <c r="D152" s="290"/>
      <c r="E152" s="290"/>
      <c r="F152" s="290"/>
      <c r="G152" s="290"/>
      <c r="H152" s="290"/>
      <c r="I152" s="290"/>
      <c r="J152" s="290"/>
      <c r="K152" s="290"/>
      <c r="L152" s="290"/>
      <c r="M152" s="290"/>
      <c r="N152" s="290"/>
      <c r="O152" s="290"/>
    </row>
    <row r="153" ht="14.25" customHeight="1">
      <c r="B153" s="227"/>
      <c r="C153" s="290"/>
      <c r="D153" s="290"/>
      <c r="E153" s="290"/>
      <c r="F153" s="290"/>
      <c r="G153" s="290"/>
      <c r="H153" s="290"/>
      <c r="I153" s="290"/>
      <c r="J153" s="290"/>
      <c r="K153" s="290"/>
      <c r="L153" s="290"/>
      <c r="M153" s="290"/>
      <c r="N153" s="290"/>
      <c r="O153" s="290"/>
    </row>
    <row r="154" ht="14.25" customHeight="1">
      <c r="B154" s="227"/>
      <c r="C154" s="290"/>
      <c r="D154" s="290"/>
      <c r="E154" s="290"/>
      <c r="F154" s="290"/>
      <c r="G154" s="290"/>
      <c r="H154" s="290"/>
      <c r="I154" s="290"/>
      <c r="J154" s="290"/>
      <c r="K154" s="290"/>
      <c r="L154" s="290"/>
      <c r="M154" s="290"/>
      <c r="N154" s="290"/>
      <c r="O154" s="290"/>
    </row>
    <row r="155" ht="14.25" customHeight="1">
      <c r="B155" s="227"/>
      <c r="C155" s="290"/>
      <c r="D155" s="290"/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</row>
    <row r="156" ht="14.25" customHeight="1">
      <c r="B156" s="227"/>
      <c r="C156" s="290"/>
      <c r="D156" s="290"/>
      <c r="E156" s="290"/>
      <c r="F156" s="290"/>
      <c r="G156" s="290"/>
      <c r="H156" s="290"/>
      <c r="I156" s="290"/>
      <c r="J156" s="290"/>
      <c r="K156" s="290"/>
      <c r="L156" s="290"/>
      <c r="M156" s="290"/>
      <c r="N156" s="290"/>
      <c r="O156" s="290"/>
    </row>
    <row r="157" ht="14.25" customHeight="1">
      <c r="B157" s="227"/>
      <c r="C157" s="290"/>
      <c r="D157" s="290"/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290"/>
    </row>
    <row r="158" ht="14.25" customHeight="1">
      <c r="B158" s="227"/>
      <c r="C158" s="290"/>
      <c r="D158" s="290"/>
      <c r="E158" s="290"/>
      <c r="F158" s="290"/>
      <c r="G158" s="290"/>
      <c r="H158" s="290"/>
      <c r="I158" s="290"/>
      <c r="J158" s="290"/>
      <c r="K158" s="290"/>
      <c r="L158" s="290"/>
      <c r="M158" s="290"/>
      <c r="N158" s="290"/>
      <c r="O158" s="290"/>
    </row>
    <row r="159" ht="14.25" customHeight="1">
      <c r="B159" s="227"/>
      <c r="C159" s="290"/>
      <c r="D159" s="290"/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</row>
    <row r="160" ht="14.25" customHeight="1">
      <c r="B160" s="227"/>
      <c r="C160" s="290"/>
      <c r="D160" s="290"/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</row>
    <row r="161" ht="14.25" customHeight="1">
      <c r="B161" s="227"/>
      <c r="C161" s="290"/>
      <c r="D161" s="290"/>
      <c r="E161" s="290"/>
      <c r="F161" s="290"/>
      <c r="G161" s="290"/>
      <c r="H161" s="290"/>
      <c r="I161" s="290"/>
      <c r="J161" s="290"/>
      <c r="K161" s="290"/>
      <c r="L161" s="290"/>
      <c r="M161" s="290"/>
      <c r="N161" s="290"/>
      <c r="O161" s="290"/>
    </row>
    <row r="162" ht="14.25" customHeight="1">
      <c r="B162" s="227"/>
      <c r="C162" s="290"/>
      <c r="D162" s="290"/>
      <c r="E162" s="290"/>
      <c r="F162" s="290"/>
      <c r="G162" s="290"/>
      <c r="H162" s="290"/>
      <c r="I162" s="290"/>
      <c r="J162" s="290"/>
      <c r="K162" s="290"/>
      <c r="L162" s="290"/>
      <c r="M162" s="290"/>
      <c r="N162" s="290"/>
      <c r="O162" s="290"/>
    </row>
    <row r="163" ht="14.25" customHeight="1">
      <c r="B163" s="227"/>
      <c r="C163" s="290"/>
      <c r="D163" s="290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</row>
    <row r="164" ht="14.25" customHeight="1">
      <c r="B164" s="227"/>
      <c r="C164" s="290"/>
      <c r="D164" s="290"/>
      <c r="E164" s="290"/>
      <c r="F164" s="290"/>
      <c r="G164" s="290"/>
      <c r="H164" s="290"/>
      <c r="I164" s="290"/>
      <c r="J164" s="290"/>
      <c r="K164" s="290"/>
      <c r="L164" s="290"/>
      <c r="M164" s="290"/>
      <c r="N164" s="290"/>
      <c r="O164" s="290"/>
    </row>
    <row r="165" ht="14.25" customHeight="1">
      <c r="B165" s="227"/>
      <c r="C165" s="290"/>
      <c r="D165" s="290"/>
      <c r="E165" s="290"/>
      <c r="F165" s="290"/>
      <c r="G165" s="290"/>
      <c r="H165" s="290"/>
      <c r="I165" s="290"/>
      <c r="J165" s="290"/>
      <c r="K165" s="290"/>
      <c r="L165" s="290"/>
      <c r="M165" s="290"/>
      <c r="N165" s="290"/>
      <c r="O165" s="290"/>
    </row>
    <row r="166" ht="14.25" customHeight="1">
      <c r="B166" s="227"/>
      <c r="C166" s="290"/>
      <c r="D166" s="290"/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</row>
    <row r="167" ht="14.25" customHeight="1">
      <c r="B167" s="227"/>
      <c r="C167" s="290"/>
      <c r="D167" s="290"/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</row>
    <row r="168" ht="14.25" customHeight="1">
      <c r="B168" s="227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</row>
    <row r="169" ht="14.25" customHeight="1">
      <c r="B169" s="227"/>
      <c r="C169" s="290"/>
      <c r="D169" s="290"/>
      <c r="E169" s="290"/>
      <c r="F169" s="290"/>
      <c r="G169" s="290"/>
      <c r="H169" s="290"/>
      <c r="I169" s="290"/>
      <c r="J169" s="290"/>
      <c r="K169" s="290"/>
      <c r="L169" s="290"/>
      <c r="M169" s="290"/>
      <c r="N169" s="290"/>
      <c r="O169" s="290"/>
    </row>
    <row r="170" ht="14.25" customHeight="1">
      <c r="B170" s="227"/>
      <c r="C170" s="290"/>
      <c r="D170" s="290"/>
      <c r="E170" s="290"/>
      <c r="F170" s="290"/>
      <c r="G170" s="290"/>
      <c r="H170" s="290"/>
      <c r="I170" s="290"/>
      <c r="J170" s="290"/>
      <c r="K170" s="290"/>
      <c r="L170" s="290"/>
      <c r="M170" s="290"/>
      <c r="N170" s="290"/>
      <c r="O170" s="290"/>
    </row>
    <row r="171" ht="14.25" customHeight="1">
      <c r="B171" s="227"/>
      <c r="C171" s="290"/>
      <c r="D171" s="290"/>
      <c r="E171" s="290"/>
      <c r="F171" s="290"/>
      <c r="G171" s="290"/>
      <c r="H171" s="290"/>
      <c r="I171" s="290"/>
      <c r="J171" s="290"/>
      <c r="K171" s="290"/>
      <c r="L171" s="290"/>
      <c r="M171" s="290"/>
      <c r="N171" s="290"/>
      <c r="O171" s="290"/>
    </row>
    <row r="172" ht="14.25" customHeight="1">
      <c r="B172" s="227"/>
      <c r="C172" s="290"/>
      <c r="D172" s="290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290"/>
    </row>
    <row r="173" ht="14.25" customHeight="1">
      <c r="B173" s="227"/>
      <c r="C173" s="290"/>
      <c r="D173" s="290"/>
      <c r="E173" s="290"/>
      <c r="F173" s="290"/>
      <c r="G173" s="290"/>
      <c r="H173" s="290"/>
      <c r="I173" s="290"/>
      <c r="J173" s="290"/>
      <c r="K173" s="290"/>
      <c r="L173" s="290"/>
      <c r="M173" s="290"/>
      <c r="N173" s="290"/>
      <c r="O173" s="290"/>
    </row>
    <row r="174" ht="14.25" customHeight="1">
      <c r="B174" s="227"/>
      <c r="C174" s="290"/>
      <c r="D174" s="290"/>
      <c r="E174" s="290"/>
      <c r="F174" s="290"/>
      <c r="G174" s="290"/>
      <c r="H174" s="290"/>
      <c r="I174" s="290"/>
      <c r="J174" s="290"/>
      <c r="K174" s="290"/>
      <c r="L174" s="290"/>
      <c r="M174" s="290"/>
      <c r="N174" s="290"/>
      <c r="O174" s="290"/>
    </row>
    <row r="175" ht="14.25" customHeight="1">
      <c r="B175" s="227"/>
      <c r="C175" s="290"/>
      <c r="D175" s="290"/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</row>
    <row r="176" ht="14.25" customHeight="1">
      <c r="B176" s="227"/>
      <c r="C176" s="290"/>
      <c r="D176" s="290"/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</row>
    <row r="177" ht="14.25" customHeight="1">
      <c r="B177" s="227"/>
      <c r="C177" s="290"/>
      <c r="D177" s="290"/>
      <c r="E177" s="290"/>
      <c r="F177" s="290"/>
      <c r="G177" s="290"/>
      <c r="H177" s="290"/>
      <c r="I177" s="290"/>
      <c r="J177" s="290"/>
      <c r="K177" s="290"/>
      <c r="L177" s="290"/>
      <c r="M177" s="290"/>
      <c r="N177" s="290"/>
      <c r="O177" s="290"/>
    </row>
    <row r="178" ht="14.25" customHeight="1">
      <c r="B178" s="227"/>
      <c r="C178" s="290"/>
      <c r="D178" s="290"/>
      <c r="E178" s="290"/>
      <c r="F178" s="290"/>
      <c r="G178" s="290"/>
      <c r="H178" s="290"/>
      <c r="I178" s="290"/>
      <c r="J178" s="290"/>
      <c r="K178" s="290"/>
      <c r="L178" s="290"/>
      <c r="M178" s="290"/>
      <c r="N178" s="290"/>
      <c r="O178" s="290"/>
    </row>
    <row r="179" ht="14.25" customHeight="1">
      <c r="B179" s="227"/>
      <c r="C179" s="290"/>
      <c r="D179" s="290"/>
      <c r="E179" s="290"/>
      <c r="F179" s="290"/>
      <c r="G179" s="290"/>
      <c r="H179" s="290"/>
      <c r="I179" s="290"/>
      <c r="J179" s="290"/>
      <c r="K179" s="290"/>
      <c r="L179" s="290"/>
      <c r="M179" s="290"/>
      <c r="N179" s="290"/>
      <c r="O179" s="290"/>
    </row>
    <row r="180" ht="14.25" customHeight="1">
      <c r="B180" s="227"/>
      <c r="C180" s="290"/>
      <c r="D180" s="290"/>
      <c r="E180" s="290"/>
      <c r="F180" s="290"/>
      <c r="G180" s="290"/>
      <c r="H180" s="290"/>
      <c r="I180" s="290"/>
      <c r="J180" s="290"/>
      <c r="K180" s="290"/>
      <c r="L180" s="290"/>
      <c r="M180" s="290"/>
      <c r="N180" s="290"/>
      <c r="O180" s="290"/>
    </row>
    <row r="181" ht="14.25" customHeight="1">
      <c r="B181" s="227"/>
      <c r="C181" s="290"/>
      <c r="D181" s="290"/>
      <c r="E181" s="290"/>
      <c r="F181" s="290"/>
      <c r="G181" s="290"/>
      <c r="H181" s="290"/>
      <c r="I181" s="290"/>
      <c r="J181" s="290"/>
      <c r="K181" s="290"/>
      <c r="L181" s="290"/>
      <c r="M181" s="290"/>
      <c r="N181" s="290"/>
      <c r="O181" s="290"/>
    </row>
    <row r="182" ht="14.25" customHeight="1">
      <c r="B182" s="227"/>
      <c r="C182" s="290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</row>
    <row r="183" ht="14.25" customHeight="1">
      <c r="B183" s="227"/>
      <c r="C183" s="290"/>
      <c r="D183" s="290"/>
      <c r="E183" s="290"/>
      <c r="F183" s="290"/>
      <c r="G183" s="290"/>
      <c r="H183" s="290"/>
      <c r="I183" s="290"/>
      <c r="J183" s="290"/>
      <c r="K183" s="290"/>
      <c r="L183" s="290"/>
      <c r="M183" s="290"/>
      <c r="N183" s="290"/>
      <c r="O183" s="290"/>
    </row>
    <row r="184" ht="14.25" customHeight="1">
      <c r="B184" s="227"/>
      <c r="C184" s="290"/>
      <c r="D184" s="290"/>
      <c r="E184" s="290"/>
      <c r="F184" s="290"/>
      <c r="G184" s="290"/>
      <c r="H184" s="290"/>
      <c r="I184" s="290"/>
      <c r="J184" s="290"/>
      <c r="K184" s="290"/>
      <c r="L184" s="290"/>
      <c r="M184" s="290"/>
      <c r="N184" s="290"/>
      <c r="O184" s="290"/>
    </row>
    <row r="185" ht="14.25" customHeight="1">
      <c r="B185" s="227"/>
      <c r="C185" s="290"/>
      <c r="D185" s="290"/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/>
    </row>
    <row r="186" ht="14.25" customHeight="1">
      <c r="B186" s="227"/>
      <c r="C186" s="290"/>
      <c r="D186" s="290"/>
      <c r="E186" s="290"/>
      <c r="F186" s="290"/>
      <c r="G186" s="290"/>
      <c r="H186" s="290"/>
      <c r="I186" s="290"/>
      <c r="J186" s="290"/>
      <c r="K186" s="290"/>
      <c r="L186" s="290"/>
      <c r="M186" s="290"/>
      <c r="N186" s="290"/>
      <c r="O186" s="290"/>
    </row>
    <row r="187" ht="14.25" customHeight="1">
      <c r="B187" s="227"/>
      <c r="C187" s="290"/>
      <c r="D187" s="290"/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</row>
    <row r="188" ht="14.25" customHeight="1">
      <c r="B188" s="227"/>
      <c r="C188" s="290"/>
      <c r="D188" s="290"/>
      <c r="E188" s="290"/>
      <c r="F188" s="290"/>
      <c r="G188" s="290"/>
      <c r="H188" s="290"/>
      <c r="I188" s="290"/>
      <c r="J188" s="290"/>
      <c r="K188" s="290"/>
      <c r="L188" s="290"/>
      <c r="M188" s="290"/>
      <c r="N188" s="290"/>
      <c r="O188" s="290"/>
    </row>
    <row r="189" ht="14.25" customHeight="1">
      <c r="B189" s="227"/>
      <c r="C189" s="290"/>
      <c r="D189" s="290"/>
      <c r="E189" s="290"/>
      <c r="F189" s="290"/>
      <c r="G189" s="290"/>
      <c r="H189" s="290"/>
      <c r="I189" s="290"/>
      <c r="J189" s="290"/>
      <c r="K189" s="290"/>
      <c r="L189" s="290"/>
      <c r="M189" s="290"/>
      <c r="N189" s="290"/>
      <c r="O189" s="290"/>
    </row>
    <row r="190" ht="14.25" customHeight="1">
      <c r="B190" s="227"/>
      <c r="C190" s="290"/>
      <c r="D190" s="290"/>
      <c r="E190" s="290"/>
      <c r="F190" s="290"/>
      <c r="G190" s="290"/>
      <c r="H190" s="290"/>
      <c r="I190" s="290"/>
      <c r="J190" s="290"/>
      <c r="K190" s="290"/>
      <c r="L190" s="290"/>
      <c r="M190" s="290"/>
      <c r="N190" s="290"/>
      <c r="O190" s="290"/>
    </row>
    <row r="191" ht="14.25" customHeight="1">
      <c r="B191" s="227"/>
      <c r="C191" s="290"/>
      <c r="D191" s="290"/>
      <c r="E191" s="290"/>
      <c r="F191" s="290"/>
      <c r="G191" s="290"/>
      <c r="H191" s="290"/>
      <c r="I191" s="290"/>
      <c r="J191" s="290"/>
      <c r="K191" s="290"/>
      <c r="L191" s="290"/>
      <c r="M191" s="290"/>
      <c r="N191" s="290"/>
      <c r="O191" s="290"/>
    </row>
    <row r="192" ht="14.25" customHeight="1">
      <c r="B192" s="227"/>
      <c r="C192" s="290"/>
      <c r="D192" s="290"/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</row>
    <row r="193" ht="14.25" customHeight="1">
      <c r="B193" s="227"/>
      <c r="C193" s="290"/>
      <c r="D193" s="290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</row>
    <row r="194" ht="14.25" customHeight="1">
      <c r="B194" s="227"/>
      <c r="C194" s="290"/>
      <c r="D194" s="290"/>
      <c r="E194" s="290"/>
      <c r="F194" s="290"/>
      <c r="G194" s="290"/>
      <c r="H194" s="290"/>
      <c r="I194" s="290"/>
      <c r="J194" s="290"/>
      <c r="K194" s="290"/>
      <c r="L194" s="290"/>
      <c r="M194" s="290"/>
      <c r="N194" s="290"/>
      <c r="O194" s="290"/>
    </row>
    <row r="195" ht="14.25" customHeight="1">
      <c r="B195" s="227"/>
      <c r="C195" s="290"/>
      <c r="D195" s="290"/>
      <c r="E195" s="290"/>
      <c r="F195" s="290"/>
      <c r="G195" s="290"/>
      <c r="H195" s="290"/>
      <c r="I195" s="290"/>
      <c r="J195" s="290"/>
      <c r="K195" s="290"/>
      <c r="L195" s="290"/>
      <c r="M195" s="290"/>
      <c r="N195" s="290"/>
      <c r="O195" s="290"/>
    </row>
    <row r="196" ht="14.25" customHeight="1">
      <c r="B196" s="227"/>
      <c r="C196" s="290"/>
      <c r="D196" s="290"/>
      <c r="E196" s="290"/>
      <c r="F196" s="290"/>
      <c r="G196" s="290"/>
      <c r="H196" s="290"/>
      <c r="I196" s="290"/>
      <c r="J196" s="290"/>
      <c r="K196" s="290"/>
      <c r="L196" s="290"/>
      <c r="M196" s="290"/>
      <c r="N196" s="290"/>
      <c r="O196" s="290"/>
    </row>
    <row r="197" ht="14.25" customHeight="1">
      <c r="B197" s="227"/>
      <c r="C197" s="290"/>
      <c r="D197" s="290"/>
      <c r="E197" s="290"/>
      <c r="F197" s="290"/>
      <c r="G197" s="290"/>
      <c r="H197" s="290"/>
      <c r="I197" s="290"/>
      <c r="J197" s="290"/>
      <c r="K197" s="290"/>
      <c r="L197" s="290"/>
      <c r="M197" s="290"/>
      <c r="N197" s="290"/>
      <c r="O197" s="290"/>
    </row>
    <row r="198" ht="14.25" customHeight="1">
      <c r="B198" s="227"/>
      <c r="C198" s="290"/>
      <c r="D198" s="290"/>
      <c r="E198" s="290"/>
      <c r="F198" s="290"/>
      <c r="G198" s="290"/>
      <c r="H198" s="290"/>
      <c r="I198" s="290"/>
      <c r="J198" s="290"/>
      <c r="K198" s="290"/>
      <c r="L198" s="290"/>
      <c r="M198" s="290"/>
      <c r="N198" s="290"/>
      <c r="O198" s="290"/>
    </row>
    <row r="199" ht="14.25" customHeight="1">
      <c r="B199" s="227"/>
      <c r="C199" s="290"/>
      <c r="D199" s="290"/>
      <c r="E199" s="290"/>
      <c r="F199" s="290"/>
      <c r="G199" s="290"/>
      <c r="H199" s="290"/>
      <c r="I199" s="290"/>
      <c r="J199" s="290"/>
      <c r="K199" s="290"/>
      <c r="L199" s="290"/>
      <c r="M199" s="290"/>
      <c r="N199" s="290"/>
      <c r="O199" s="290"/>
    </row>
    <row r="200" ht="14.25" customHeight="1">
      <c r="B200" s="227"/>
      <c r="C200" s="290"/>
      <c r="D200" s="290"/>
      <c r="E200" s="290"/>
      <c r="F200" s="290"/>
      <c r="G200" s="290"/>
      <c r="H200" s="290"/>
      <c r="I200" s="290"/>
      <c r="J200" s="290"/>
      <c r="K200" s="290"/>
      <c r="L200" s="290"/>
      <c r="M200" s="290"/>
      <c r="N200" s="290"/>
      <c r="O200" s="290"/>
    </row>
    <row r="201" ht="14.25" customHeight="1">
      <c r="B201" s="227"/>
      <c r="C201" s="290"/>
      <c r="D201" s="290"/>
      <c r="E201" s="290"/>
      <c r="F201" s="290"/>
      <c r="G201" s="290"/>
      <c r="H201" s="290"/>
      <c r="I201" s="290"/>
      <c r="J201" s="290"/>
      <c r="K201" s="290"/>
      <c r="L201" s="290"/>
      <c r="M201" s="290"/>
      <c r="N201" s="290"/>
      <c r="O201" s="290"/>
    </row>
    <row r="202" ht="14.25" customHeight="1">
      <c r="B202" s="227"/>
      <c r="C202" s="290"/>
      <c r="D202" s="290"/>
      <c r="E202" s="290"/>
      <c r="F202" s="290"/>
      <c r="G202" s="290"/>
      <c r="H202" s="290"/>
      <c r="I202" s="290"/>
      <c r="J202" s="290"/>
      <c r="K202" s="290"/>
      <c r="L202" s="290"/>
      <c r="M202" s="290"/>
      <c r="N202" s="290"/>
      <c r="O202" s="290"/>
    </row>
    <row r="203" ht="14.25" customHeight="1">
      <c r="B203" s="227"/>
      <c r="C203" s="290"/>
      <c r="D203" s="290"/>
      <c r="E203" s="290"/>
      <c r="F203" s="290"/>
      <c r="G203" s="290"/>
      <c r="H203" s="290"/>
      <c r="I203" s="290"/>
      <c r="J203" s="290"/>
      <c r="K203" s="290"/>
      <c r="L203" s="290"/>
      <c r="M203" s="290"/>
      <c r="N203" s="290"/>
      <c r="O203" s="290"/>
    </row>
    <row r="204" ht="14.25" customHeight="1">
      <c r="B204" s="227"/>
      <c r="C204" s="290"/>
      <c r="D204" s="290"/>
      <c r="E204" s="290"/>
      <c r="F204" s="290"/>
      <c r="G204" s="290"/>
      <c r="H204" s="290"/>
      <c r="I204" s="290"/>
      <c r="J204" s="290"/>
      <c r="K204" s="290"/>
      <c r="L204" s="290"/>
      <c r="M204" s="290"/>
      <c r="N204" s="290"/>
      <c r="O204" s="290"/>
    </row>
    <row r="205" ht="14.25" customHeight="1">
      <c r="B205" s="227"/>
      <c r="C205" s="290"/>
      <c r="D205" s="290"/>
      <c r="E205" s="290"/>
      <c r="F205" s="290"/>
      <c r="G205" s="290"/>
      <c r="H205" s="290"/>
      <c r="I205" s="290"/>
      <c r="J205" s="290"/>
      <c r="K205" s="290"/>
      <c r="L205" s="290"/>
      <c r="M205" s="290"/>
      <c r="N205" s="290"/>
      <c r="O205" s="290"/>
    </row>
    <row r="206" ht="14.25" customHeight="1">
      <c r="B206" s="227"/>
      <c r="C206" s="290"/>
      <c r="D206" s="290"/>
      <c r="E206" s="290"/>
      <c r="F206" s="290"/>
      <c r="G206" s="290"/>
      <c r="H206" s="290"/>
      <c r="I206" s="290"/>
      <c r="J206" s="290"/>
      <c r="K206" s="290"/>
      <c r="L206" s="290"/>
      <c r="M206" s="290"/>
      <c r="N206" s="290"/>
      <c r="O206" s="290"/>
    </row>
    <row r="207" ht="14.25" customHeight="1">
      <c r="B207" s="227"/>
      <c r="C207" s="290"/>
      <c r="D207" s="290"/>
      <c r="E207" s="290"/>
      <c r="F207" s="290"/>
      <c r="G207" s="290"/>
      <c r="H207" s="290"/>
      <c r="I207" s="290"/>
      <c r="J207" s="290"/>
      <c r="K207" s="290"/>
      <c r="L207" s="290"/>
      <c r="M207" s="290"/>
      <c r="N207" s="290"/>
      <c r="O207" s="290"/>
    </row>
    <row r="208" ht="14.25" customHeight="1">
      <c r="B208" s="227"/>
      <c r="C208" s="290"/>
      <c r="D208" s="290"/>
      <c r="E208" s="290"/>
      <c r="F208" s="290"/>
      <c r="G208" s="290"/>
      <c r="H208" s="290"/>
      <c r="I208" s="290"/>
      <c r="J208" s="290"/>
      <c r="K208" s="290"/>
      <c r="L208" s="290"/>
      <c r="M208" s="290"/>
      <c r="N208" s="290"/>
      <c r="O208" s="290"/>
    </row>
    <row r="209" ht="14.25" customHeight="1">
      <c r="B209" s="227"/>
      <c r="C209" s="290"/>
      <c r="D209" s="290"/>
      <c r="E209" s="290"/>
      <c r="F209" s="290"/>
      <c r="G209" s="290"/>
      <c r="H209" s="290"/>
      <c r="I209" s="290"/>
      <c r="J209" s="290"/>
      <c r="K209" s="290"/>
      <c r="L209" s="290"/>
      <c r="M209" s="290"/>
      <c r="N209" s="290"/>
      <c r="O209" s="290"/>
    </row>
    <row r="210" ht="14.25" customHeight="1">
      <c r="B210" s="227"/>
      <c r="C210" s="290"/>
      <c r="D210" s="290"/>
      <c r="E210" s="290"/>
      <c r="F210" s="290"/>
      <c r="G210" s="290"/>
      <c r="H210" s="290"/>
      <c r="I210" s="290"/>
      <c r="J210" s="290"/>
      <c r="K210" s="290"/>
      <c r="L210" s="290"/>
      <c r="M210" s="290"/>
      <c r="N210" s="290"/>
      <c r="O210" s="290"/>
    </row>
    <row r="211" ht="14.25" customHeight="1">
      <c r="B211" s="227"/>
      <c r="C211" s="290"/>
      <c r="D211" s="290"/>
      <c r="E211" s="290"/>
      <c r="F211" s="290"/>
      <c r="G211" s="290"/>
      <c r="H211" s="290"/>
      <c r="I211" s="290"/>
      <c r="J211" s="290"/>
      <c r="K211" s="290"/>
      <c r="L211" s="290"/>
      <c r="M211" s="290"/>
      <c r="N211" s="290"/>
      <c r="O211" s="290"/>
    </row>
    <row r="212" ht="14.25" customHeight="1">
      <c r="B212" s="227"/>
      <c r="C212" s="290"/>
      <c r="D212" s="290"/>
      <c r="E212" s="290"/>
      <c r="F212" s="290"/>
      <c r="G212" s="290"/>
      <c r="H212" s="290"/>
      <c r="I212" s="290"/>
      <c r="J212" s="290"/>
      <c r="K212" s="290"/>
      <c r="L212" s="290"/>
      <c r="M212" s="290"/>
      <c r="N212" s="290"/>
      <c r="O212" s="290"/>
    </row>
    <row r="213" ht="14.25" customHeight="1">
      <c r="B213" s="227"/>
      <c r="C213" s="290"/>
      <c r="D213" s="290"/>
      <c r="E213" s="290"/>
      <c r="F213" s="290"/>
      <c r="G213" s="290"/>
      <c r="H213" s="290"/>
      <c r="I213" s="290"/>
      <c r="J213" s="290"/>
      <c r="K213" s="290"/>
      <c r="L213" s="290"/>
      <c r="M213" s="290"/>
      <c r="N213" s="290"/>
      <c r="O213" s="290"/>
    </row>
    <row r="214" ht="14.25" customHeight="1">
      <c r="B214" s="227"/>
      <c r="C214" s="290"/>
      <c r="D214" s="290"/>
      <c r="E214" s="290"/>
      <c r="F214" s="290"/>
      <c r="G214" s="290"/>
      <c r="H214" s="290"/>
      <c r="I214" s="290"/>
      <c r="J214" s="290"/>
      <c r="K214" s="290"/>
      <c r="L214" s="290"/>
      <c r="M214" s="290"/>
      <c r="N214" s="290"/>
      <c r="O214" s="290"/>
    </row>
    <row r="215" ht="14.25" customHeight="1">
      <c r="B215" s="227"/>
      <c r="C215" s="290"/>
      <c r="D215" s="290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290"/>
    </row>
    <row r="216" ht="14.25" customHeight="1">
      <c r="B216" s="227"/>
      <c r="C216" s="290"/>
      <c r="D216" s="290"/>
      <c r="E216" s="290"/>
      <c r="F216" s="290"/>
      <c r="G216" s="290"/>
      <c r="H216" s="290"/>
      <c r="I216" s="290"/>
      <c r="J216" s="290"/>
      <c r="K216" s="290"/>
      <c r="L216" s="290"/>
      <c r="M216" s="290"/>
      <c r="N216" s="290"/>
      <c r="O216" s="290"/>
    </row>
    <row r="217" ht="14.25" customHeight="1">
      <c r="B217" s="227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  <c r="N217" s="290"/>
      <c r="O217" s="290"/>
    </row>
    <row r="218" ht="14.25" customHeight="1">
      <c r="B218" s="227"/>
      <c r="C218" s="290"/>
      <c r="D218" s="290"/>
      <c r="E218" s="290"/>
      <c r="F218" s="290"/>
      <c r="G218" s="290"/>
      <c r="H218" s="290"/>
      <c r="I218" s="290"/>
      <c r="J218" s="290"/>
      <c r="K218" s="290"/>
      <c r="L218" s="290"/>
      <c r="M218" s="290"/>
      <c r="N218" s="290"/>
      <c r="O218" s="290"/>
    </row>
    <row r="219" ht="14.25" customHeight="1">
      <c r="B219" s="227"/>
      <c r="C219" s="290"/>
      <c r="D219" s="290"/>
      <c r="E219" s="290"/>
      <c r="F219" s="290"/>
      <c r="G219" s="290"/>
      <c r="H219" s="290"/>
      <c r="I219" s="290"/>
      <c r="J219" s="290"/>
      <c r="K219" s="290"/>
      <c r="L219" s="290"/>
      <c r="M219" s="290"/>
      <c r="N219" s="290"/>
      <c r="O219" s="290"/>
    </row>
    <row r="220" ht="14.25" customHeight="1">
      <c r="B220" s="227"/>
      <c r="C220" s="290"/>
      <c r="D220" s="290"/>
      <c r="E220" s="290"/>
      <c r="F220" s="290"/>
      <c r="G220" s="290"/>
      <c r="H220" s="290"/>
      <c r="I220" s="290"/>
      <c r="J220" s="290"/>
      <c r="K220" s="290"/>
      <c r="L220" s="290"/>
      <c r="M220" s="290"/>
      <c r="N220" s="290"/>
      <c r="O220" s="290"/>
    </row>
    <row r="221" ht="14.25" customHeight="1">
      <c r="B221" s="227"/>
      <c r="C221" s="290"/>
      <c r="D221" s="290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290"/>
    </row>
    <row r="222" ht="14.25" customHeight="1">
      <c r="B222" s="227"/>
      <c r="C222" s="290"/>
      <c r="D222" s="290"/>
      <c r="E222" s="290"/>
      <c r="F222" s="290"/>
      <c r="G222" s="290"/>
      <c r="H222" s="290"/>
      <c r="I222" s="290"/>
      <c r="J222" s="290"/>
      <c r="K222" s="290"/>
      <c r="L222" s="290"/>
      <c r="M222" s="290"/>
      <c r="N222" s="290"/>
      <c r="O222" s="290"/>
    </row>
    <row r="223" ht="14.25" customHeight="1">
      <c r="B223" s="227"/>
      <c r="C223" s="290"/>
      <c r="D223" s="290"/>
      <c r="E223" s="290"/>
      <c r="F223" s="290"/>
      <c r="G223" s="290"/>
      <c r="H223" s="290"/>
      <c r="I223" s="290"/>
      <c r="J223" s="290"/>
      <c r="K223" s="290"/>
      <c r="L223" s="290"/>
      <c r="M223" s="290"/>
      <c r="N223" s="290"/>
      <c r="O223" s="290"/>
    </row>
    <row r="224" ht="14.25" customHeight="1">
      <c r="B224" s="227"/>
      <c r="C224" s="290"/>
      <c r="D224" s="290"/>
      <c r="E224" s="290"/>
      <c r="F224" s="290"/>
      <c r="G224" s="290"/>
      <c r="H224" s="290"/>
      <c r="I224" s="290"/>
      <c r="J224" s="290"/>
      <c r="K224" s="290"/>
      <c r="L224" s="290"/>
      <c r="M224" s="290"/>
      <c r="N224" s="290"/>
      <c r="O224" s="290"/>
    </row>
    <row r="225" ht="14.25" customHeight="1">
      <c r="B225" s="227"/>
      <c r="C225" s="290"/>
      <c r="D225" s="290"/>
      <c r="E225" s="290"/>
      <c r="F225" s="290"/>
      <c r="G225" s="290"/>
      <c r="H225" s="290"/>
      <c r="I225" s="290"/>
      <c r="J225" s="290"/>
      <c r="K225" s="290"/>
      <c r="L225" s="290"/>
      <c r="M225" s="290"/>
      <c r="N225" s="290"/>
      <c r="O225" s="290"/>
    </row>
    <row r="226" ht="14.25" customHeight="1">
      <c r="B226" s="227"/>
      <c r="C226" s="290"/>
      <c r="D226" s="290"/>
      <c r="E226" s="290"/>
      <c r="F226" s="290"/>
      <c r="G226" s="290"/>
      <c r="H226" s="290"/>
      <c r="I226" s="290"/>
      <c r="J226" s="290"/>
      <c r="K226" s="290"/>
      <c r="L226" s="290"/>
      <c r="M226" s="290"/>
      <c r="N226" s="290"/>
      <c r="O226" s="290"/>
    </row>
    <row r="227" ht="14.25" customHeight="1">
      <c r="B227" s="227"/>
      <c r="C227" s="290"/>
      <c r="D227" s="290"/>
      <c r="E227" s="290"/>
      <c r="F227" s="290"/>
      <c r="G227" s="290"/>
      <c r="H227" s="290"/>
      <c r="I227" s="290"/>
      <c r="J227" s="290"/>
      <c r="K227" s="290"/>
      <c r="L227" s="290"/>
      <c r="M227" s="290"/>
      <c r="N227" s="290"/>
      <c r="O227" s="290"/>
    </row>
    <row r="228" ht="14.25" customHeight="1">
      <c r="B228" s="227"/>
      <c r="C228" s="290"/>
      <c r="D228" s="290"/>
      <c r="E228" s="290"/>
      <c r="F228" s="290"/>
      <c r="G228" s="290"/>
      <c r="H228" s="290"/>
      <c r="I228" s="290"/>
      <c r="J228" s="290"/>
      <c r="K228" s="290"/>
      <c r="L228" s="290"/>
      <c r="M228" s="290"/>
      <c r="N228" s="290"/>
      <c r="O228" s="290"/>
    </row>
    <row r="229" ht="14.25" customHeight="1">
      <c r="B229" s="227"/>
      <c r="C229" s="290"/>
      <c r="D229" s="290"/>
      <c r="E229" s="290"/>
      <c r="F229" s="290"/>
      <c r="G229" s="290"/>
      <c r="H229" s="290"/>
      <c r="I229" s="290"/>
      <c r="J229" s="290"/>
      <c r="K229" s="290"/>
      <c r="L229" s="290"/>
      <c r="M229" s="290"/>
      <c r="N229" s="290"/>
      <c r="O229" s="290"/>
    </row>
    <row r="230" ht="14.25" customHeight="1">
      <c r="B230" s="227"/>
      <c r="C230" s="290"/>
      <c r="D230" s="290"/>
      <c r="E230" s="290"/>
      <c r="F230" s="290"/>
      <c r="G230" s="290"/>
      <c r="H230" s="290"/>
      <c r="I230" s="290"/>
      <c r="J230" s="290"/>
      <c r="K230" s="290"/>
      <c r="L230" s="290"/>
      <c r="M230" s="290"/>
      <c r="N230" s="290"/>
      <c r="O230" s="290"/>
    </row>
    <row r="231" ht="14.25" customHeight="1">
      <c r="B231" s="227"/>
      <c r="C231" s="290"/>
      <c r="D231" s="290"/>
      <c r="E231" s="290"/>
      <c r="F231" s="290"/>
      <c r="G231" s="290"/>
      <c r="H231" s="290"/>
      <c r="I231" s="290"/>
      <c r="J231" s="290"/>
      <c r="K231" s="290"/>
      <c r="L231" s="290"/>
      <c r="M231" s="290"/>
      <c r="N231" s="290"/>
      <c r="O231" s="290"/>
    </row>
    <row r="232" ht="14.25" customHeight="1">
      <c r="B232" s="227"/>
      <c r="C232" s="290"/>
      <c r="D232" s="290"/>
      <c r="E232" s="290"/>
      <c r="F232" s="290"/>
      <c r="G232" s="290"/>
      <c r="H232" s="290"/>
      <c r="I232" s="290"/>
      <c r="J232" s="290"/>
      <c r="K232" s="290"/>
      <c r="L232" s="290"/>
      <c r="M232" s="290"/>
      <c r="N232" s="290"/>
      <c r="O232" s="290"/>
    </row>
    <row r="233" ht="14.25" customHeight="1">
      <c r="B233" s="227"/>
      <c r="C233" s="290"/>
      <c r="D233" s="290"/>
      <c r="E233" s="290"/>
      <c r="F233" s="290"/>
      <c r="G233" s="290"/>
      <c r="H233" s="290"/>
      <c r="I233" s="290"/>
      <c r="J233" s="290"/>
      <c r="K233" s="290"/>
      <c r="L233" s="290"/>
      <c r="M233" s="290"/>
      <c r="N233" s="290"/>
      <c r="O233" s="290"/>
    </row>
    <row r="234" ht="14.25" customHeight="1">
      <c r="B234" s="227"/>
      <c r="C234" s="290"/>
      <c r="D234" s="290"/>
      <c r="E234" s="290"/>
      <c r="F234" s="290"/>
      <c r="G234" s="290"/>
      <c r="H234" s="290"/>
      <c r="I234" s="290"/>
      <c r="J234" s="290"/>
      <c r="K234" s="290"/>
      <c r="L234" s="290"/>
      <c r="M234" s="290"/>
      <c r="N234" s="290"/>
      <c r="O234" s="290"/>
    </row>
    <row r="235" ht="14.25" customHeight="1">
      <c r="B235" s="227"/>
      <c r="C235" s="290"/>
      <c r="D235" s="290"/>
      <c r="E235" s="290"/>
      <c r="F235" s="290"/>
      <c r="G235" s="290"/>
      <c r="H235" s="290"/>
      <c r="I235" s="290"/>
      <c r="J235" s="290"/>
      <c r="K235" s="290"/>
      <c r="L235" s="290"/>
      <c r="M235" s="290"/>
      <c r="N235" s="290"/>
      <c r="O235" s="290"/>
    </row>
    <row r="236" ht="14.25" customHeight="1">
      <c r="B236" s="227"/>
      <c r="C236" s="290"/>
      <c r="D236" s="290"/>
      <c r="E236" s="290"/>
      <c r="F236" s="290"/>
      <c r="G236" s="290"/>
      <c r="H236" s="290"/>
      <c r="I236" s="290"/>
      <c r="J236" s="290"/>
      <c r="K236" s="290"/>
      <c r="L236" s="290"/>
      <c r="M236" s="290"/>
      <c r="N236" s="290"/>
      <c r="O236" s="290"/>
    </row>
    <row r="237" ht="14.25" customHeight="1">
      <c r="B237" s="227"/>
      <c r="C237" s="290"/>
      <c r="D237" s="290"/>
      <c r="E237" s="290"/>
      <c r="F237" s="290"/>
      <c r="G237" s="290"/>
      <c r="H237" s="290"/>
      <c r="I237" s="290"/>
      <c r="J237" s="290"/>
      <c r="K237" s="290"/>
      <c r="L237" s="290"/>
      <c r="M237" s="290"/>
      <c r="N237" s="290"/>
      <c r="O237" s="290"/>
    </row>
    <row r="238" ht="14.25" customHeight="1">
      <c r="B238" s="227"/>
      <c r="C238" s="290"/>
      <c r="D238" s="290"/>
      <c r="E238" s="290"/>
      <c r="F238" s="290"/>
      <c r="G238" s="290"/>
      <c r="H238" s="290"/>
      <c r="I238" s="290"/>
      <c r="J238" s="290"/>
      <c r="K238" s="290"/>
      <c r="L238" s="290"/>
      <c r="M238" s="290"/>
      <c r="N238" s="290"/>
      <c r="O238" s="290"/>
    </row>
    <row r="239" ht="14.25" customHeight="1">
      <c r="B239" s="227"/>
      <c r="C239" s="290"/>
      <c r="D239" s="290"/>
      <c r="E239" s="290"/>
      <c r="F239" s="290"/>
      <c r="G239" s="290"/>
      <c r="H239" s="290"/>
      <c r="I239" s="290"/>
      <c r="J239" s="290"/>
      <c r="K239" s="290"/>
      <c r="L239" s="290"/>
      <c r="M239" s="290"/>
      <c r="N239" s="290"/>
      <c r="O239" s="290"/>
    </row>
    <row r="240" ht="14.25" customHeight="1">
      <c r="B240" s="227"/>
      <c r="C240" s="290"/>
      <c r="D240" s="290"/>
      <c r="E240" s="290"/>
      <c r="F240" s="290"/>
      <c r="G240" s="290"/>
      <c r="H240" s="290"/>
      <c r="I240" s="290"/>
      <c r="J240" s="290"/>
      <c r="K240" s="290"/>
      <c r="L240" s="290"/>
      <c r="M240" s="290"/>
      <c r="N240" s="290"/>
      <c r="O240" s="290"/>
    </row>
    <row r="241" ht="14.25" customHeight="1">
      <c r="B241" s="227"/>
      <c r="C241" s="290"/>
      <c r="D241" s="290"/>
      <c r="E241" s="290"/>
      <c r="F241" s="290"/>
      <c r="G241" s="290"/>
      <c r="H241" s="290"/>
      <c r="I241" s="290"/>
      <c r="J241" s="290"/>
      <c r="K241" s="290"/>
      <c r="L241" s="290"/>
      <c r="M241" s="290"/>
      <c r="N241" s="290"/>
      <c r="O241" s="290"/>
    </row>
    <row r="242" ht="14.25" customHeight="1">
      <c r="B242" s="227"/>
      <c r="C242" s="290"/>
      <c r="D242" s="290"/>
      <c r="E242" s="290"/>
      <c r="F242" s="290"/>
      <c r="G242" s="290"/>
      <c r="H242" s="290"/>
      <c r="I242" s="290"/>
      <c r="J242" s="290"/>
      <c r="K242" s="290"/>
      <c r="L242" s="290"/>
      <c r="M242" s="290"/>
      <c r="N242" s="290"/>
      <c r="O242" s="290"/>
    </row>
    <row r="243" ht="14.25" customHeight="1">
      <c r="B243" s="227"/>
      <c r="C243" s="290"/>
      <c r="D243" s="290"/>
      <c r="E243" s="290"/>
      <c r="F243" s="290"/>
      <c r="G243" s="290"/>
      <c r="H243" s="290"/>
      <c r="I243" s="290"/>
      <c r="J243" s="290"/>
      <c r="K243" s="290"/>
      <c r="L243" s="290"/>
      <c r="M243" s="290"/>
      <c r="N243" s="290"/>
      <c r="O243" s="290"/>
    </row>
    <row r="244" ht="14.25" customHeight="1">
      <c r="B244" s="227"/>
      <c r="C244" s="290"/>
      <c r="D244" s="290"/>
      <c r="E244" s="290"/>
      <c r="F244" s="290"/>
      <c r="G244" s="290"/>
      <c r="H244" s="290"/>
      <c r="I244" s="290"/>
      <c r="J244" s="290"/>
      <c r="K244" s="290"/>
      <c r="L244" s="290"/>
      <c r="M244" s="290"/>
      <c r="N244" s="290"/>
      <c r="O244" s="290"/>
    </row>
    <row r="245" ht="14.25" customHeight="1">
      <c r="B245" s="227"/>
      <c r="C245" s="290"/>
      <c r="D245" s="290"/>
      <c r="E245" s="290"/>
      <c r="F245" s="290"/>
      <c r="G245" s="290"/>
      <c r="H245" s="290"/>
      <c r="I245" s="290"/>
      <c r="J245" s="290"/>
      <c r="K245" s="290"/>
      <c r="L245" s="290"/>
      <c r="M245" s="290"/>
      <c r="N245" s="290"/>
      <c r="O245" s="290"/>
    </row>
    <row r="246" ht="14.25" customHeight="1">
      <c r="B246" s="227"/>
      <c r="C246" s="290"/>
      <c r="D246" s="290"/>
      <c r="E246" s="290"/>
      <c r="F246" s="290"/>
      <c r="G246" s="290"/>
      <c r="H246" s="290"/>
      <c r="I246" s="290"/>
      <c r="J246" s="290"/>
      <c r="K246" s="290"/>
      <c r="L246" s="290"/>
      <c r="M246" s="290"/>
      <c r="N246" s="290"/>
      <c r="O246" s="290"/>
    </row>
    <row r="247" ht="14.25" customHeight="1">
      <c r="B247" s="227"/>
      <c r="C247" s="290"/>
      <c r="D247" s="290"/>
      <c r="E247" s="290"/>
      <c r="F247" s="290"/>
      <c r="G247" s="290"/>
      <c r="H247" s="290"/>
      <c r="I247" s="290"/>
      <c r="J247" s="290"/>
      <c r="K247" s="290"/>
      <c r="L247" s="290"/>
      <c r="M247" s="290"/>
      <c r="N247" s="290"/>
      <c r="O247" s="290"/>
    </row>
    <row r="248" ht="14.25" customHeight="1">
      <c r="B248" s="227"/>
      <c r="C248" s="290"/>
      <c r="D248" s="290"/>
      <c r="E248" s="290"/>
      <c r="F248" s="290"/>
      <c r="G248" s="290"/>
      <c r="H248" s="290"/>
      <c r="I248" s="290"/>
      <c r="J248" s="290"/>
      <c r="K248" s="290"/>
      <c r="L248" s="290"/>
      <c r="M248" s="290"/>
      <c r="N248" s="290"/>
      <c r="O248" s="290"/>
    </row>
    <row r="249" ht="14.25" customHeight="1">
      <c r="B249" s="227"/>
      <c r="C249" s="290"/>
      <c r="D249" s="290"/>
      <c r="E249" s="290"/>
      <c r="F249" s="290"/>
      <c r="G249" s="290"/>
      <c r="H249" s="290"/>
      <c r="I249" s="290"/>
      <c r="J249" s="290"/>
      <c r="K249" s="290"/>
      <c r="L249" s="290"/>
      <c r="M249" s="290"/>
      <c r="N249" s="290"/>
      <c r="O249" s="290"/>
    </row>
    <row r="250" ht="14.25" customHeight="1">
      <c r="B250" s="227"/>
      <c r="C250" s="290"/>
      <c r="D250" s="290"/>
      <c r="E250" s="290"/>
      <c r="F250" s="290"/>
      <c r="G250" s="290"/>
      <c r="H250" s="290"/>
      <c r="I250" s="290"/>
      <c r="J250" s="290"/>
      <c r="K250" s="290"/>
      <c r="L250" s="290"/>
      <c r="M250" s="290"/>
      <c r="N250" s="290"/>
      <c r="O250" s="290"/>
    </row>
    <row r="251" ht="14.25" customHeight="1">
      <c r="B251" s="227"/>
      <c r="C251" s="290"/>
      <c r="D251" s="290"/>
      <c r="E251" s="290"/>
      <c r="F251" s="290"/>
      <c r="G251" s="290"/>
      <c r="H251" s="290"/>
      <c r="I251" s="290"/>
      <c r="J251" s="290"/>
      <c r="K251" s="290"/>
      <c r="L251" s="290"/>
      <c r="M251" s="290"/>
      <c r="N251" s="290"/>
      <c r="O251" s="290"/>
    </row>
    <row r="252" ht="14.25" customHeight="1">
      <c r="B252" s="227"/>
      <c r="C252" s="290"/>
      <c r="D252" s="290"/>
      <c r="E252" s="290"/>
      <c r="F252" s="290"/>
      <c r="G252" s="290"/>
      <c r="H252" s="290"/>
      <c r="I252" s="290"/>
      <c r="J252" s="290"/>
      <c r="K252" s="290"/>
      <c r="L252" s="290"/>
      <c r="M252" s="290"/>
      <c r="N252" s="290"/>
      <c r="O252" s="290"/>
    </row>
    <row r="253" ht="14.25" customHeight="1">
      <c r="B253" s="227"/>
      <c r="C253" s="290"/>
      <c r="D253" s="290"/>
      <c r="E253" s="290"/>
      <c r="F253" s="290"/>
      <c r="G253" s="290"/>
      <c r="H253" s="290"/>
      <c r="I253" s="290"/>
      <c r="J253" s="290"/>
      <c r="K253" s="290"/>
      <c r="L253" s="290"/>
      <c r="M253" s="290"/>
      <c r="N253" s="290"/>
      <c r="O253" s="290"/>
    </row>
    <row r="254" ht="14.25" customHeight="1">
      <c r="B254" s="227"/>
      <c r="C254" s="290"/>
      <c r="D254" s="290"/>
      <c r="E254" s="290"/>
      <c r="F254" s="290"/>
      <c r="G254" s="290"/>
      <c r="H254" s="290"/>
      <c r="I254" s="290"/>
      <c r="J254" s="290"/>
      <c r="K254" s="290"/>
      <c r="L254" s="290"/>
      <c r="M254" s="290"/>
      <c r="N254" s="290"/>
      <c r="O254" s="290"/>
    </row>
    <row r="255" ht="14.25" customHeight="1">
      <c r="B255" s="227"/>
      <c r="C255" s="290"/>
      <c r="D255" s="290"/>
      <c r="E255" s="290"/>
      <c r="F255" s="290"/>
      <c r="G255" s="290"/>
      <c r="H255" s="290"/>
      <c r="I255" s="290"/>
      <c r="J255" s="290"/>
      <c r="K255" s="290"/>
      <c r="L255" s="290"/>
      <c r="M255" s="290"/>
      <c r="N255" s="290"/>
      <c r="O255" s="290"/>
    </row>
    <row r="256" ht="14.25" customHeight="1">
      <c r="B256" s="227"/>
      <c r="C256" s="290"/>
      <c r="D256" s="290"/>
      <c r="E256" s="290"/>
      <c r="F256" s="290"/>
      <c r="G256" s="290"/>
      <c r="H256" s="290"/>
      <c r="I256" s="290"/>
      <c r="J256" s="290"/>
      <c r="K256" s="290"/>
      <c r="L256" s="290"/>
      <c r="M256" s="290"/>
      <c r="N256" s="290"/>
      <c r="O256" s="290"/>
    </row>
    <row r="257" ht="14.25" customHeight="1">
      <c r="B257" s="227"/>
      <c r="C257" s="290"/>
      <c r="D257" s="290"/>
      <c r="E257" s="290"/>
      <c r="F257" s="290"/>
      <c r="G257" s="290"/>
      <c r="H257" s="290"/>
      <c r="I257" s="290"/>
      <c r="J257" s="290"/>
      <c r="K257" s="290"/>
      <c r="L257" s="290"/>
      <c r="M257" s="290"/>
      <c r="N257" s="290"/>
      <c r="O257" s="290"/>
    </row>
    <row r="258" ht="14.25" customHeight="1">
      <c r="B258" s="227"/>
      <c r="C258" s="290"/>
      <c r="D258" s="290"/>
      <c r="E258" s="290"/>
      <c r="F258" s="290"/>
      <c r="G258" s="290"/>
      <c r="H258" s="290"/>
      <c r="I258" s="290"/>
      <c r="J258" s="290"/>
      <c r="K258" s="290"/>
      <c r="L258" s="290"/>
      <c r="M258" s="290"/>
      <c r="N258" s="290"/>
      <c r="O258" s="290"/>
    </row>
    <row r="259" ht="14.25" customHeight="1">
      <c r="B259" s="227"/>
      <c r="C259" s="290"/>
      <c r="D259" s="290"/>
      <c r="E259" s="290"/>
      <c r="F259" s="290"/>
      <c r="G259" s="290"/>
      <c r="H259" s="290"/>
      <c r="I259" s="290"/>
      <c r="J259" s="290"/>
      <c r="K259" s="290"/>
      <c r="L259" s="290"/>
      <c r="M259" s="290"/>
      <c r="N259" s="290"/>
      <c r="O259" s="290"/>
    </row>
    <row r="260" ht="14.25" customHeight="1">
      <c r="B260" s="227"/>
      <c r="C260" s="290"/>
      <c r="D260" s="290"/>
      <c r="E260" s="290"/>
      <c r="F260" s="290"/>
      <c r="G260" s="290"/>
      <c r="H260" s="290"/>
      <c r="I260" s="290"/>
      <c r="J260" s="290"/>
      <c r="K260" s="290"/>
      <c r="L260" s="290"/>
      <c r="M260" s="290"/>
      <c r="N260" s="290"/>
      <c r="O260" s="290"/>
    </row>
    <row r="261" ht="14.25" customHeight="1">
      <c r="B261" s="227"/>
      <c r="C261" s="290"/>
      <c r="D261" s="290"/>
      <c r="E261" s="290"/>
      <c r="F261" s="290"/>
      <c r="G261" s="290"/>
      <c r="H261" s="290"/>
      <c r="I261" s="290"/>
      <c r="J261" s="290"/>
      <c r="K261" s="290"/>
      <c r="L261" s="290"/>
      <c r="M261" s="290"/>
      <c r="N261" s="290"/>
      <c r="O261" s="290"/>
    </row>
    <row r="262" ht="14.25" customHeight="1">
      <c r="B262" s="227"/>
      <c r="C262" s="290"/>
      <c r="D262" s="290"/>
      <c r="E262" s="290"/>
      <c r="F262" s="290"/>
      <c r="G262" s="290"/>
      <c r="H262" s="290"/>
      <c r="I262" s="290"/>
      <c r="J262" s="290"/>
      <c r="K262" s="290"/>
      <c r="L262" s="290"/>
      <c r="M262" s="290"/>
      <c r="N262" s="290"/>
      <c r="O262" s="290"/>
    </row>
    <row r="263" ht="14.25" customHeight="1">
      <c r="B263" s="227"/>
      <c r="C263" s="290"/>
      <c r="D263" s="290"/>
      <c r="E263" s="290"/>
      <c r="F263" s="290"/>
      <c r="G263" s="290"/>
      <c r="H263" s="290"/>
      <c r="I263" s="290"/>
      <c r="J263" s="290"/>
      <c r="K263" s="290"/>
      <c r="L263" s="290"/>
      <c r="M263" s="290"/>
      <c r="N263" s="290"/>
      <c r="O263" s="290"/>
    </row>
    <row r="264" ht="14.25" customHeight="1">
      <c r="B264" s="227"/>
      <c r="C264" s="290"/>
      <c r="D264" s="290"/>
      <c r="E264" s="290"/>
      <c r="F264" s="290"/>
      <c r="G264" s="290"/>
      <c r="H264" s="290"/>
      <c r="I264" s="290"/>
      <c r="J264" s="290"/>
      <c r="K264" s="290"/>
      <c r="L264" s="290"/>
      <c r="M264" s="290"/>
      <c r="N264" s="290"/>
      <c r="O264" s="290"/>
    </row>
    <row r="265" ht="14.25" customHeight="1">
      <c r="B265" s="227"/>
      <c r="C265" s="290"/>
      <c r="D265" s="290"/>
      <c r="E265" s="290"/>
      <c r="F265" s="290"/>
      <c r="G265" s="290"/>
      <c r="H265" s="290"/>
      <c r="I265" s="290"/>
      <c r="J265" s="290"/>
      <c r="K265" s="290"/>
      <c r="L265" s="290"/>
      <c r="M265" s="290"/>
      <c r="N265" s="290"/>
      <c r="O265" s="290"/>
    </row>
    <row r="266" ht="14.25" customHeight="1">
      <c r="B266" s="227"/>
      <c r="C266" s="290"/>
      <c r="D266" s="290"/>
      <c r="E266" s="290"/>
      <c r="F266" s="290"/>
      <c r="G266" s="290"/>
      <c r="H266" s="290"/>
      <c r="I266" s="290"/>
      <c r="J266" s="290"/>
      <c r="K266" s="290"/>
      <c r="L266" s="290"/>
      <c r="M266" s="290"/>
      <c r="N266" s="290"/>
      <c r="O266" s="290"/>
    </row>
    <row r="267" ht="14.25" customHeight="1">
      <c r="B267" s="227"/>
      <c r="C267" s="290"/>
      <c r="D267" s="290"/>
      <c r="E267" s="290"/>
      <c r="F267" s="290"/>
      <c r="G267" s="290"/>
      <c r="H267" s="290"/>
      <c r="I267" s="290"/>
      <c r="J267" s="290"/>
      <c r="K267" s="290"/>
      <c r="L267" s="290"/>
      <c r="M267" s="290"/>
      <c r="N267" s="290"/>
      <c r="O267" s="290"/>
    </row>
    <row r="268" ht="14.25" customHeight="1">
      <c r="B268" s="227"/>
      <c r="C268" s="290"/>
      <c r="D268" s="290"/>
      <c r="E268" s="290"/>
      <c r="F268" s="290"/>
      <c r="G268" s="290"/>
      <c r="H268" s="290"/>
      <c r="I268" s="290"/>
      <c r="J268" s="290"/>
      <c r="K268" s="290"/>
      <c r="L268" s="290"/>
      <c r="M268" s="290"/>
      <c r="N268" s="290"/>
      <c r="O268" s="290"/>
    </row>
    <row r="269" ht="14.25" customHeight="1">
      <c r="B269" s="227"/>
      <c r="C269" s="290"/>
      <c r="D269" s="290"/>
      <c r="E269" s="290"/>
      <c r="F269" s="290"/>
      <c r="G269" s="290"/>
      <c r="H269" s="290"/>
      <c r="I269" s="290"/>
      <c r="J269" s="290"/>
      <c r="K269" s="290"/>
      <c r="L269" s="290"/>
      <c r="M269" s="290"/>
      <c r="N269" s="290"/>
      <c r="O269" s="290"/>
    </row>
    <row r="270" ht="14.25" customHeight="1">
      <c r="B270" s="227"/>
      <c r="C270" s="290"/>
      <c r="D270" s="290"/>
      <c r="E270" s="290"/>
      <c r="F270" s="290"/>
      <c r="G270" s="290"/>
      <c r="H270" s="290"/>
      <c r="I270" s="290"/>
      <c r="J270" s="290"/>
      <c r="K270" s="290"/>
      <c r="L270" s="290"/>
      <c r="M270" s="290"/>
      <c r="N270" s="290"/>
      <c r="O270" s="290"/>
    </row>
    <row r="271" ht="14.25" customHeight="1">
      <c r="B271" s="227"/>
      <c r="C271" s="290"/>
      <c r="D271" s="290"/>
      <c r="E271" s="290"/>
      <c r="F271" s="290"/>
      <c r="G271" s="290"/>
      <c r="H271" s="290"/>
      <c r="I271" s="290"/>
      <c r="J271" s="290"/>
      <c r="K271" s="290"/>
      <c r="L271" s="290"/>
      <c r="M271" s="290"/>
      <c r="N271" s="290"/>
      <c r="O271" s="290"/>
    </row>
    <row r="272" ht="14.25" customHeight="1">
      <c r="B272" s="227"/>
      <c r="C272" s="290"/>
      <c r="D272" s="290"/>
      <c r="E272" s="290"/>
      <c r="F272" s="290"/>
      <c r="G272" s="290"/>
      <c r="H272" s="290"/>
      <c r="I272" s="290"/>
      <c r="J272" s="290"/>
      <c r="K272" s="290"/>
      <c r="L272" s="290"/>
      <c r="M272" s="290"/>
      <c r="N272" s="290"/>
      <c r="O272" s="290"/>
    </row>
    <row r="273" ht="14.25" customHeight="1">
      <c r="B273" s="227"/>
      <c r="C273" s="290"/>
      <c r="D273" s="290"/>
      <c r="E273" s="290"/>
      <c r="F273" s="290"/>
      <c r="G273" s="290"/>
      <c r="H273" s="290"/>
      <c r="I273" s="290"/>
      <c r="J273" s="290"/>
      <c r="K273" s="290"/>
      <c r="L273" s="290"/>
      <c r="M273" s="290"/>
      <c r="N273" s="290"/>
      <c r="O273" s="290"/>
    </row>
    <row r="274" ht="14.25" customHeight="1">
      <c r="B274" s="227"/>
      <c r="C274" s="290"/>
      <c r="D274" s="290"/>
      <c r="E274" s="290"/>
      <c r="F274" s="290"/>
      <c r="G274" s="290"/>
      <c r="H274" s="290"/>
      <c r="I274" s="290"/>
      <c r="J274" s="290"/>
      <c r="K274" s="290"/>
      <c r="L274" s="290"/>
      <c r="M274" s="290"/>
      <c r="N274" s="290"/>
      <c r="O274" s="290"/>
    </row>
    <row r="275" ht="14.25" customHeight="1">
      <c r="B275" s="227"/>
      <c r="C275" s="290"/>
      <c r="D275" s="290"/>
      <c r="E275" s="290"/>
      <c r="F275" s="290"/>
      <c r="G275" s="290"/>
      <c r="H275" s="290"/>
      <c r="I275" s="290"/>
      <c r="J275" s="290"/>
      <c r="K275" s="290"/>
      <c r="L275" s="290"/>
      <c r="M275" s="290"/>
      <c r="N275" s="290"/>
      <c r="O275" s="290"/>
    </row>
    <row r="276" ht="14.25" customHeight="1">
      <c r="B276" s="227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</row>
    <row r="277" ht="14.25" customHeight="1">
      <c r="B277" s="227"/>
      <c r="C277" s="290"/>
      <c r="D277" s="290"/>
      <c r="E277" s="290"/>
      <c r="F277" s="290"/>
      <c r="G277" s="290"/>
      <c r="H277" s="290"/>
      <c r="I277" s="290"/>
      <c r="J277" s="290"/>
      <c r="K277" s="290"/>
      <c r="L277" s="290"/>
      <c r="M277" s="290"/>
      <c r="N277" s="290"/>
      <c r="O277" s="290"/>
    </row>
    <row r="278" ht="14.25" customHeight="1">
      <c r="B278" s="227"/>
      <c r="C278" s="290"/>
      <c r="D278" s="290"/>
      <c r="E278" s="290"/>
      <c r="F278" s="290"/>
      <c r="G278" s="290"/>
      <c r="H278" s="290"/>
      <c r="I278" s="290"/>
      <c r="J278" s="290"/>
      <c r="K278" s="290"/>
      <c r="L278" s="290"/>
      <c r="M278" s="290"/>
      <c r="N278" s="290"/>
      <c r="O278" s="290"/>
    </row>
    <row r="279" ht="14.25" customHeight="1">
      <c r="B279" s="227"/>
      <c r="C279" s="290"/>
      <c r="D279" s="290"/>
      <c r="E279" s="290"/>
      <c r="F279" s="290"/>
      <c r="G279" s="290"/>
      <c r="H279" s="290"/>
      <c r="I279" s="290"/>
      <c r="J279" s="290"/>
      <c r="K279" s="290"/>
      <c r="L279" s="290"/>
      <c r="M279" s="290"/>
      <c r="N279" s="290"/>
      <c r="O279" s="290"/>
    </row>
    <row r="280" ht="14.25" customHeight="1">
      <c r="B280" s="227"/>
      <c r="C280" s="290"/>
      <c r="D280" s="290"/>
      <c r="E280" s="290"/>
      <c r="F280" s="290"/>
      <c r="G280" s="290"/>
      <c r="H280" s="290"/>
      <c r="I280" s="290"/>
      <c r="J280" s="290"/>
      <c r="K280" s="290"/>
      <c r="L280" s="290"/>
      <c r="M280" s="290"/>
      <c r="N280" s="290"/>
      <c r="O280" s="290"/>
    </row>
    <row r="281" ht="14.25" customHeight="1">
      <c r="B281" s="227"/>
      <c r="C281" s="290"/>
      <c r="D281" s="290"/>
      <c r="E281" s="290"/>
      <c r="F281" s="290"/>
      <c r="G281" s="290"/>
      <c r="H281" s="290"/>
      <c r="I281" s="290"/>
      <c r="J281" s="290"/>
      <c r="K281" s="290"/>
      <c r="L281" s="290"/>
      <c r="M281" s="290"/>
      <c r="N281" s="290"/>
      <c r="O281" s="290"/>
    </row>
    <row r="282" ht="14.25" customHeight="1">
      <c r="B282" s="227"/>
      <c r="C282" s="290"/>
      <c r="D282" s="290"/>
      <c r="E282" s="290"/>
      <c r="F282" s="290"/>
      <c r="G282" s="290"/>
      <c r="H282" s="290"/>
      <c r="I282" s="290"/>
      <c r="J282" s="290"/>
      <c r="K282" s="290"/>
      <c r="L282" s="290"/>
      <c r="M282" s="290"/>
      <c r="N282" s="290"/>
      <c r="O282" s="290"/>
    </row>
    <row r="283" ht="14.25" customHeight="1">
      <c r="B283" s="227"/>
      <c r="C283" s="290"/>
      <c r="D283" s="290"/>
      <c r="E283" s="290"/>
      <c r="F283" s="290"/>
      <c r="G283" s="290"/>
      <c r="H283" s="290"/>
      <c r="I283" s="290"/>
      <c r="J283" s="290"/>
      <c r="K283" s="290"/>
      <c r="L283" s="290"/>
      <c r="M283" s="290"/>
      <c r="N283" s="290"/>
      <c r="O283" s="290"/>
    </row>
    <row r="284" ht="14.25" customHeight="1">
      <c r="B284" s="227"/>
      <c r="C284" s="290"/>
      <c r="D284" s="290"/>
      <c r="E284" s="290"/>
      <c r="F284" s="290"/>
      <c r="G284" s="290"/>
      <c r="H284" s="290"/>
      <c r="I284" s="290"/>
      <c r="J284" s="290"/>
      <c r="K284" s="290"/>
      <c r="L284" s="290"/>
      <c r="M284" s="290"/>
      <c r="N284" s="290"/>
      <c r="O284" s="290"/>
    </row>
    <row r="285" ht="14.25" customHeight="1">
      <c r="B285" s="227"/>
      <c r="C285" s="290"/>
      <c r="D285" s="290"/>
      <c r="E285" s="290"/>
      <c r="F285" s="290"/>
      <c r="G285" s="290"/>
      <c r="H285" s="290"/>
      <c r="I285" s="290"/>
      <c r="J285" s="290"/>
      <c r="K285" s="290"/>
      <c r="L285" s="290"/>
      <c r="M285" s="290"/>
      <c r="N285" s="290"/>
      <c r="O285" s="290"/>
    </row>
    <row r="286" ht="14.25" customHeight="1">
      <c r="B286" s="227"/>
      <c r="C286" s="290"/>
      <c r="D286" s="290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290"/>
    </row>
    <row r="287" ht="14.25" customHeight="1">
      <c r="B287" s="227"/>
      <c r="C287" s="290"/>
      <c r="D287" s="290"/>
      <c r="E287" s="290"/>
      <c r="F287" s="290"/>
      <c r="G287" s="290"/>
      <c r="H287" s="290"/>
      <c r="I287" s="290"/>
      <c r="J287" s="290"/>
      <c r="K287" s="290"/>
      <c r="L287" s="290"/>
      <c r="M287" s="290"/>
      <c r="N287" s="290"/>
      <c r="O287" s="290"/>
    </row>
    <row r="288" ht="14.25" customHeight="1">
      <c r="B288" s="227"/>
      <c r="C288" s="290"/>
      <c r="D288" s="290"/>
      <c r="E288" s="290"/>
      <c r="F288" s="290"/>
      <c r="G288" s="290"/>
      <c r="H288" s="290"/>
      <c r="I288" s="290"/>
      <c r="J288" s="290"/>
      <c r="K288" s="290"/>
      <c r="L288" s="290"/>
      <c r="M288" s="290"/>
      <c r="N288" s="290"/>
      <c r="O288" s="290"/>
    </row>
    <row r="289" ht="14.25" customHeight="1">
      <c r="B289" s="227"/>
      <c r="C289" s="290"/>
      <c r="D289" s="290"/>
      <c r="E289" s="290"/>
      <c r="F289" s="290"/>
      <c r="G289" s="290"/>
      <c r="H289" s="290"/>
      <c r="I289" s="290"/>
      <c r="J289" s="290"/>
      <c r="K289" s="290"/>
      <c r="L289" s="290"/>
      <c r="M289" s="290"/>
      <c r="N289" s="290"/>
      <c r="O289" s="290"/>
    </row>
    <row r="290" ht="14.25" customHeight="1">
      <c r="B290" s="227"/>
      <c r="C290" s="290"/>
      <c r="D290" s="290"/>
      <c r="E290" s="290"/>
      <c r="F290" s="290"/>
      <c r="G290" s="290"/>
      <c r="H290" s="290"/>
      <c r="I290" s="290"/>
      <c r="J290" s="290"/>
      <c r="K290" s="290"/>
      <c r="L290" s="290"/>
      <c r="M290" s="290"/>
      <c r="N290" s="290"/>
      <c r="O290" s="290"/>
    </row>
    <row r="291" ht="14.25" customHeight="1">
      <c r="B291" s="227"/>
      <c r="C291" s="290"/>
      <c r="D291" s="290"/>
      <c r="E291" s="290"/>
      <c r="F291" s="290"/>
      <c r="G291" s="290"/>
      <c r="H291" s="290"/>
      <c r="I291" s="290"/>
      <c r="J291" s="290"/>
      <c r="K291" s="290"/>
      <c r="L291" s="290"/>
      <c r="M291" s="290"/>
      <c r="N291" s="290"/>
      <c r="O291" s="290"/>
    </row>
    <row r="292" ht="14.25" customHeight="1">
      <c r="B292" s="227"/>
      <c r="C292" s="290"/>
      <c r="D292" s="290"/>
      <c r="E292" s="290"/>
      <c r="F292" s="290"/>
      <c r="G292" s="290"/>
      <c r="H292" s="290"/>
      <c r="I292" s="290"/>
      <c r="J292" s="290"/>
      <c r="K292" s="290"/>
      <c r="L292" s="290"/>
      <c r="M292" s="290"/>
      <c r="N292" s="290"/>
      <c r="O292" s="290"/>
    </row>
    <row r="293" ht="14.25" customHeight="1">
      <c r="B293" s="227"/>
      <c r="C293" s="290"/>
      <c r="D293" s="290"/>
      <c r="E293" s="290"/>
      <c r="F293" s="290"/>
      <c r="G293" s="290"/>
      <c r="H293" s="290"/>
      <c r="I293" s="290"/>
      <c r="J293" s="290"/>
      <c r="K293" s="290"/>
      <c r="L293" s="290"/>
      <c r="M293" s="290"/>
      <c r="N293" s="290"/>
      <c r="O293" s="290"/>
    </row>
    <row r="294" ht="14.25" customHeight="1">
      <c r="B294" s="227"/>
      <c r="C294" s="290"/>
      <c r="D294" s="290"/>
      <c r="E294" s="290"/>
      <c r="F294" s="290"/>
      <c r="G294" s="290"/>
      <c r="H294" s="290"/>
      <c r="I294" s="290"/>
      <c r="J294" s="290"/>
      <c r="K294" s="290"/>
      <c r="L294" s="290"/>
      <c r="M294" s="290"/>
      <c r="N294" s="290"/>
      <c r="O294" s="290"/>
    </row>
    <row r="295" ht="14.25" customHeight="1">
      <c r="B295" s="227"/>
      <c r="C295" s="290"/>
      <c r="D295" s="290"/>
      <c r="E295" s="290"/>
      <c r="F295" s="290"/>
      <c r="G295" s="290"/>
      <c r="H295" s="290"/>
      <c r="I295" s="290"/>
      <c r="J295" s="290"/>
      <c r="K295" s="290"/>
      <c r="L295" s="290"/>
      <c r="M295" s="290"/>
      <c r="N295" s="290"/>
      <c r="O295" s="290"/>
    </row>
    <row r="296" ht="14.25" customHeight="1">
      <c r="B296" s="227"/>
      <c r="C296" s="290"/>
      <c r="D296" s="290"/>
      <c r="E296" s="290"/>
      <c r="F296" s="290"/>
      <c r="G296" s="290"/>
      <c r="H296" s="290"/>
      <c r="I296" s="290"/>
      <c r="J296" s="290"/>
      <c r="K296" s="290"/>
      <c r="L296" s="290"/>
      <c r="M296" s="290"/>
      <c r="N296" s="290"/>
      <c r="O296" s="290"/>
    </row>
    <row r="297" ht="14.25" customHeight="1">
      <c r="B297" s="227"/>
      <c r="C297" s="290"/>
      <c r="D297" s="290"/>
      <c r="E297" s="290"/>
      <c r="F297" s="290"/>
      <c r="G297" s="290"/>
      <c r="H297" s="290"/>
      <c r="I297" s="290"/>
      <c r="J297" s="290"/>
      <c r="K297" s="290"/>
      <c r="L297" s="290"/>
      <c r="M297" s="290"/>
      <c r="N297" s="290"/>
      <c r="O297" s="290"/>
    </row>
    <row r="298" ht="14.25" customHeight="1">
      <c r="B298" s="227"/>
      <c r="C298" s="290"/>
      <c r="D298" s="290"/>
      <c r="E298" s="290"/>
      <c r="F298" s="290"/>
      <c r="G298" s="290"/>
      <c r="H298" s="290"/>
      <c r="I298" s="290"/>
      <c r="J298" s="290"/>
      <c r="K298" s="290"/>
      <c r="L298" s="290"/>
      <c r="M298" s="290"/>
      <c r="N298" s="290"/>
      <c r="O298" s="290"/>
    </row>
    <row r="299" ht="14.25" customHeight="1">
      <c r="B299" s="227"/>
      <c r="C299" s="290"/>
      <c r="D299" s="290"/>
      <c r="E299" s="290"/>
      <c r="F299" s="290"/>
      <c r="G299" s="290"/>
      <c r="H299" s="290"/>
      <c r="I299" s="290"/>
      <c r="J299" s="290"/>
      <c r="K299" s="290"/>
      <c r="L299" s="290"/>
      <c r="M299" s="290"/>
      <c r="N299" s="290"/>
      <c r="O299" s="290"/>
    </row>
    <row r="300" ht="14.25" customHeight="1">
      <c r="B300" s="227"/>
      <c r="C300" s="290"/>
      <c r="D300" s="290"/>
      <c r="E300" s="290"/>
      <c r="F300" s="290"/>
      <c r="G300" s="290"/>
      <c r="H300" s="290"/>
      <c r="I300" s="290"/>
      <c r="J300" s="290"/>
      <c r="K300" s="290"/>
      <c r="L300" s="290"/>
      <c r="M300" s="290"/>
      <c r="N300" s="290"/>
      <c r="O300" s="290"/>
    </row>
    <row r="301" ht="14.25" customHeight="1">
      <c r="B301" s="227"/>
      <c r="C301" s="290"/>
      <c r="D301" s="290"/>
      <c r="E301" s="290"/>
      <c r="F301" s="290"/>
      <c r="G301" s="290"/>
      <c r="H301" s="290"/>
      <c r="I301" s="290"/>
      <c r="J301" s="290"/>
      <c r="K301" s="290"/>
      <c r="L301" s="290"/>
      <c r="M301" s="290"/>
      <c r="N301" s="290"/>
      <c r="O301" s="290"/>
    </row>
    <row r="302" ht="14.25" customHeight="1">
      <c r="B302" s="227"/>
      <c r="C302" s="290"/>
      <c r="D302" s="290"/>
      <c r="E302" s="290"/>
      <c r="F302" s="290"/>
      <c r="G302" s="290"/>
      <c r="H302" s="290"/>
      <c r="I302" s="290"/>
      <c r="J302" s="290"/>
      <c r="K302" s="290"/>
      <c r="L302" s="290"/>
      <c r="M302" s="290"/>
      <c r="N302" s="290"/>
      <c r="O302" s="290"/>
    </row>
    <row r="303" ht="14.25" customHeight="1">
      <c r="B303" s="227"/>
      <c r="C303" s="290"/>
      <c r="D303" s="290"/>
      <c r="E303" s="290"/>
      <c r="F303" s="290"/>
      <c r="G303" s="290"/>
      <c r="H303" s="290"/>
      <c r="I303" s="290"/>
      <c r="J303" s="290"/>
      <c r="K303" s="290"/>
      <c r="L303" s="290"/>
      <c r="M303" s="290"/>
      <c r="N303" s="290"/>
      <c r="O303" s="290"/>
    </row>
    <row r="304" ht="14.25" customHeight="1">
      <c r="B304" s="227"/>
      <c r="C304" s="290"/>
      <c r="D304" s="290"/>
      <c r="E304" s="290"/>
      <c r="F304" s="290"/>
      <c r="G304" s="290"/>
      <c r="H304" s="290"/>
      <c r="I304" s="290"/>
      <c r="J304" s="290"/>
      <c r="K304" s="290"/>
      <c r="L304" s="290"/>
      <c r="M304" s="290"/>
      <c r="N304" s="290"/>
      <c r="O304" s="290"/>
    </row>
    <row r="305" ht="14.25" customHeight="1">
      <c r="B305" s="227"/>
      <c r="C305" s="290"/>
      <c r="D305" s="290"/>
      <c r="E305" s="290"/>
      <c r="F305" s="290"/>
      <c r="G305" s="290"/>
      <c r="H305" s="290"/>
      <c r="I305" s="290"/>
      <c r="J305" s="290"/>
      <c r="K305" s="290"/>
      <c r="L305" s="290"/>
      <c r="M305" s="290"/>
      <c r="N305" s="290"/>
      <c r="O305" s="290"/>
    </row>
    <row r="306" ht="14.25" customHeight="1">
      <c r="B306" s="227"/>
      <c r="C306" s="290"/>
      <c r="D306" s="290"/>
      <c r="E306" s="290"/>
      <c r="F306" s="290"/>
      <c r="G306" s="290"/>
      <c r="H306" s="290"/>
      <c r="I306" s="290"/>
      <c r="J306" s="290"/>
      <c r="K306" s="290"/>
      <c r="L306" s="290"/>
      <c r="M306" s="290"/>
      <c r="N306" s="290"/>
      <c r="O306" s="290"/>
    </row>
    <row r="307" ht="14.25" customHeight="1">
      <c r="B307" s="227"/>
      <c r="C307" s="290"/>
      <c r="D307" s="290"/>
      <c r="E307" s="290"/>
      <c r="F307" s="290"/>
      <c r="G307" s="290"/>
      <c r="H307" s="290"/>
      <c r="I307" s="290"/>
      <c r="J307" s="290"/>
      <c r="K307" s="290"/>
      <c r="L307" s="290"/>
      <c r="M307" s="290"/>
      <c r="N307" s="290"/>
      <c r="O307" s="290"/>
    </row>
    <row r="308" ht="14.25" customHeight="1">
      <c r="B308" s="227"/>
      <c r="C308" s="290"/>
      <c r="D308" s="290"/>
      <c r="E308" s="290"/>
      <c r="F308" s="290"/>
      <c r="G308" s="290"/>
      <c r="H308" s="290"/>
      <c r="I308" s="290"/>
      <c r="J308" s="290"/>
      <c r="K308" s="290"/>
      <c r="L308" s="290"/>
      <c r="M308" s="290"/>
      <c r="N308" s="290"/>
      <c r="O308" s="290"/>
    </row>
    <row r="309" ht="14.25" customHeight="1">
      <c r="B309" s="227"/>
      <c r="C309" s="290"/>
      <c r="D309" s="290"/>
      <c r="E309" s="290"/>
      <c r="F309" s="290"/>
      <c r="G309" s="290"/>
      <c r="H309" s="290"/>
      <c r="I309" s="290"/>
      <c r="J309" s="290"/>
      <c r="K309" s="290"/>
      <c r="L309" s="290"/>
      <c r="M309" s="290"/>
      <c r="N309" s="290"/>
      <c r="O309" s="290"/>
    </row>
    <row r="310" ht="14.25" customHeight="1">
      <c r="B310" s="227"/>
      <c r="C310" s="290"/>
      <c r="D310" s="290"/>
      <c r="E310" s="290"/>
      <c r="F310" s="290"/>
      <c r="G310" s="290"/>
      <c r="H310" s="290"/>
      <c r="I310" s="290"/>
      <c r="J310" s="290"/>
      <c r="K310" s="290"/>
      <c r="L310" s="290"/>
      <c r="M310" s="290"/>
      <c r="N310" s="290"/>
      <c r="O310" s="290"/>
    </row>
    <row r="311" ht="14.25" customHeight="1">
      <c r="B311" s="227"/>
      <c r="C311" s="290"/>
      <c r="D311" s="290"/>
      <c r="E311" s="290"/>
      <c r="F311" s="290"/>
      <c r="G311" s="290"/>
      <c r="H311" s="290"/>
      <c r="I311" s="290"/>
      <c r="J311" s="290"/>
      <c r="K311" s="290"/>
      <c r="L311" s="290"/>
      <c r="M311" s="290"/>
      <c r="N311" s="290"/>
      <c r="O311" s="290"/>
    </row>
    <row r="312" ht="14.25" customHeight="1">
      <c r="B312" s="227"/>
      <c r="C312" s="290"/>
      <c r="D312" s="290"/>
      <c r="E312" s="290"/>
      <c r="F312" s="290"/>
      <c r="G312" s="290"/>
      <c r="H312" s="290"/>
      <c r="I312" s="290"/>
      <c r="J312" s="290"/>
      <c r="K312" s="290"/>
      <c r="L312" s="290"/>
      <c r="M312" s="290"/>
      <c r="N312" s="290"/>
      <c r="O312" s="290"/>
    </row>
    <row r="313" ht="14.25" customHeight="1">
      <c r="B313" s="227"/>
      <c r="C313" s="290"/>
      <c r="D313" s="290"/>
      <c r="E313" s="290"/>
      <c r="F313" s="290"/>
      <c r="G313" s="290"/>
      <c r="H313" s="290"/>
      <c r="I313" s="290"/>
      <c r="J313" s="290"/>
      <c r="K313" s="290"/>
      <c r="L313" s="290"/>
      <c r="M313" s="290"/>
      <c r="N313" s="290"/>
      <c r="O313" s="290"/>
    </row>
    <row r="314" ht="14.25" customHeight="1">
      <c r="B314" s="227"/>
      <c r="C314" s="290"/>
      <c r="D314" s="290"/>
      <c r="E314" s="290"/>
      <c r="F314" s="290"/>
      <c r="G314" s="290"/>
      <c r="H314" s="290"/>
      <c r="I314" s="290"/>
      <c r="J314" s="290"/>
      <c r="K314" s="290"/>
      <c r="L314" s="290"/>
      <c r="M314" s="290"/>
      <c r="N314" s="290"/>
      <c r="O314" s="290"/>
    </row>
    <row r="315" ht="14.25" customHeight="1">
      <c r="B315" s="227"/>
      <c r="C315" s="290"/>
      <c r="D315" s="290"/>
      <c r="E315" s="290"/>
      <c r="F315" s="290"/>
      <c r="G315" s="290"/>
      <c r="H315" s="290"/>
      <c r="I315" s="290"/>
      <c r="J315" s="290"/>
      <c r="K315" s="290"/>
      <c r="L315" s="290"/>
      <c r="M315" s="290"/>
      <c r="N315" s="290"/>
      <c r="O315" s="290"/>
    </row>
    <row r="316" ht="14.25" customHeight="1">
      <c r="B316" s="227"/>
      <c r="C316" s="290"/>
      <c r="D316" s="290"/>
      <c r="E316" s="290"/>
      <c r="F316" s="290"/>
      <c r="G316" s="290"/>
      <c r="H316" s="290"/>
      <c r="I316" s="290"/>
      <c r="J316" s="290"/>
      <c r="K316" s="290"/>
      <c r="L316" s="290"/>
      <c r="M316" s="290"/>
      <c r="N316" s="290"/>
      <c r="O316" s="290"/>
    </row>
    <row r="317" ht="14.25" customHeight="1">
      <c r="B317" s="227"/>
      <c r="C317" s="290"/>
      <c r="D317" s="290"/>
      <c r="E317" s="290"/>
      <c r="F317" s="290"/>
      <c r="G317" s="290"/>
      <c r="H317" s="290"/>
      <c r="I317" s="290"/>
      <c r="J317" s="290"/>
      <c r="K317" s="290"/>
      <c r="L317" s="290"/>
      <c r="M317" s="290"/>
      <c r="N317" s="290"/>
      <c r="O317" s="290"/>
    </row>
    <row r="318" ht="14.25" customHeight="1">
      <c r="B318" s="227"/>
      <c r="C318" s="290"/>
      <c r="D318" s="290"/>
      <c r="E318" s="290"/>
      <c r="F318" s="290"/>
      <c r="G318" s="290"/>
      <c r="H318" s="290"/>
      <c r="I318" s="290"/>
      <c r="J318" s="290"/>
      <c r="K318" s="290"/>
      <c r="L318" s="290"/>
      <c r="M318" s="290"/>
      <c r="N318" s="290"/>
      <c r="O318" s="290"/>
    </row>
    <row r="319" ht="14.25" customHeight="1">
      <c r="B319" s="227"/>
      <c r="C319" s="290"/>
      <c r="D319" s="290"/>
      <c r="E319" s="290"/>
      <c r="F319" s="290"/>
      <c r="G319" s="290"/>
      <c r="H319" s="290"/>
      <c r="I319" s="290"/>
      <c r="J319" s="290"/>
      <c r="K319" s="290"/>
      <c r="L319" s="290"/>
      <c r="M319" s="290"/>
      <c r="N319" s="290"/>
      <c r="O319" s="290"/>
    </row>
    <row r="320" ht="14.25" customHeight="1">
      <c r="B320" s="227"/>
      <c r="C320" s="290"/>
      <c r="D320" s="290"/>
      <c r="E320" s="290"/>
      <c r="F320" s="290"/>
      <c r="G320" s="290"/>
      <c r="H320" s="290"/>
      <c r="I320" s="290"/>
      <c r="J320" s="290"/>
      <c r="K320" s="290"/>
      <c r="L320" s="290"/>
      <c r="M320" s="290"/>
      <c r="N320" s="290"/>
      <c r="O320" s="290"/>
    </row>
    <row r="321" ht="14.25" customHeight="1">
      <c r="B321" s="227"/>
      <c r="C321" s="290"/>
      <c r="D321" s="290"/>
      <c r="E321" s="290"/>
      <c r="F321" s="290"/>
      <c r="G321" s="290"/>
      <c r="H321" s="290"/>
      <c r="I321" s="290"/>
      <c r="J321" s="290"/>
      <c r="K321" s="290"/>
      <c r="L321" s="290"/>
      <c r="M321" s="290"/>
      <c r="N321" s="290"/>
      <c r="O321" s="290"/>
    </row>
    <row r="322" ht="14.25" customHeight="1">
      <c r="B322" s="227"/>
      <c r="C322" s="290"/>
      <c r="D322" s="290"/>
      <c r="E322" s="290"/>
      <c r="F322" s="290"/>
      <c r="G322" s="290"/>
      <c r="H322" s="290"/>
      <c r="I322" s="290"/>
      <c r="J322" s="290"/>
      <c r="K322" s="290"/>
      <c r="L322" s="290"/>
      <c r="M322" s="290"/>
      <c r="N322" s="290"/>
      <c r="O322" s="290"/>
    </row>
    <row r="323" ht="14.25" customHeight="1">
      <c r="B323" s="227"/>
      <c r="C323" s="290"/>
      <c r="D323" s="290"/>
      <c r="E323" s="290"/>
      <c r="F323" s="290"/>
      <c r="G323" s="290"/>
      <c r="H323" s="290"/>
      <c r="I323" s="290"/>
      <c r="J323" s="290"/>
      <c r="K323" s="290"/>
      <c r="L323" s="290"/>
      <c r="M323" s="290"/>
      <c r="N323" s="290"/>
      <c r="O323" s="290"/>
    </row>
    <row r="324" ht="14.25" customHeight="1">
      <c r="B324" s="227"/>
      <c r="C324" s="290"/>
      <c r="D324" s="290"/>
      <c r="E324" s="290"/>
      <c r="F324" s="290"/>
      <c r="G324" s="290"/>
      <c r="H324" s="290"/>
      <c r="I324" s="290"/>
      <c r="J324" s="290"/>
      <c r="K324" s="290"/>
      <c r="L324" s="290"/>
      <c r="M324" s="290"/>
      <c r="N324" s="290"/>
      <c r="O324" s="290"/>
    </row>
    <row r="325" ht="14.25" customHeight="1">
      <c r="B325" s="227"/>
      <c r="C325" s="290"/>
      <c r="D325" s="290"/>
      <c r="E325" s="290"/>
      <c r="F325" s="290"/>
      <c r="G325" s="290"/>
      <c r="H325" s="290"/>
      <c r="I325" s="290"/>
      <c r="J325" s="290"/>
      <c r="K325" s="290"/>
      <c r="L325" s="290"/>
      <c r="M325" s="290"/>
      <c r="N325" s="290"/>
      <c r="O325" s="290"/>
    </row>
    <row r="326" ht="14.25" customHeight="1">
      <c r="B326" s="227"/>
      <c r="C326" s="290"/>
      <c r="D326" s="290"/>
      <c r="E326" s="290"/>
      <c r="F326" s="290"/>
      <c r="G326" s="290"/>
      <c r="H326" s="290"/>
      <c r="I326" s="290"/>
      <c r="J326" s="290"/>
      <c r="K326" s="290"/>
      <c r="L326" s="290"/>
      <c r="M326" s="290"/>
      <c r="N326" s="290"/>
      <c r="O326" s="290"/>
    </row>
    <row r="327" ht="14.25" customHeight="1">
      <c r="B327" s="227"/>
      <c r="C327" s="290"/>
      <c r="D327" s="290"/>
      <c r="E327" s="290"/>
      <c r="F327" s="290"/>
      <c r="G327" s="290"/>
      <c r="H327" s="290"/>
      <c r="I327" s="290"/>
      <c r="J327" s="290"/>
      <c r="K327" s="290"/>
      <c r="L327" s="290"/>
      <c r="M327" s="290"/>
      <c r="N327" s="290"/>
      <c r="O327" s="290"/>
    </row>
    <row r="328" ht="14.25" customHeight="1">
      <c r="B328" s="227"/>
      <c r="C328" s="290"/>
      <c r="D328" s="290"/>
      <c r="E328" s="290"/>
      <c r="F328" s="290"/>
      <c r="G328" s="290"/>
      <c r="H328" s="290"/>
      <c r="I328" s="290"/>
      <c r="J328" s="290"/>
      <c r="K328" s="290"/>
      <c r="L328" s="290"/>
      <c r="M328" s="290"/>
      <c r="N328" s="290"/>
      <c r="O328" s="290"/>
    </row>
    <row r="329" ht="14.25" customHeight="1">
      <c r="B329" s="227"/>
      <c r="C329" s="290"/>
      <c r="D329" s="290"/>
      <c r="E329" s="290"/>
      <c r="F329" s="290"/>
      <c r="G329" s="290"/>
      <c r="H329" s="290"/>
      <c r="I329" s="290"/>
      <c r="J329" s="290"/>
      <c r="K329" s="290"/>
      <c r="L329" s="290"/>
      <c r="M329" s="290"/>
      <c r="N329" s="290"/>
      <c r="O329" s="290"/>
    </row>
    <row r="330" ht="14.25" customHeight="1">
      <c r="B330" s="227"/>
      <c r="C330" s="290"/>
      <c r="D330" s="290"/>
      <c r="E330" s="290"/>
      <c r="F330" s="290"/>
      <c r="G330" s="290"/>
      <c r="H330" s="290"/>
      <c r="I330" s="290"/>
      <c r="J330" s="290"/>
      <c r="K330" s="290"/>
      <c r="L330" s="290"/>
      <c r="M330" s="290"/>
      <c r="N330" s="290"/>
      <c r="O330" s="290"/>
    </row>
    <row r="331" ht="14.25" customHeight="1">
      <c r="B331" s="227"/>
      <c r="C331" s="290"/>
      <c r="D331" s="290"/>
      <c r="E331" s="290"/>
      <c r="F331" s="290"/>
      <c r="G331" s="290"/>
      <c r="H331" s="290"/>
      <c r="I331" s="290"/>
      <c r="J331" s="290"/>
      <c r="K331" s="290"/>
      <c r="L331" s="290"/>
      <c r="M331" s="290"/>
      <c r="N331" s="290"/>
      <c r="O331" s="290"/>
    </row>
    <row r="332" ht="14.25" customHeight="1">
      <c r="B332" s="227"/>
      <c r="C332" s="290"/>
      <c r="D332" s="290"/>
      <c r="E332" s="290"/>
      <c r="F332" s="290"/>
      <c r="G332" s="290"/>
      <c r="H332" s="290"/>
      <c r="I332" s="290"/>
      <c r="J332" s="290"/>
      <c r="K332" s="290"/>
      <c r="L332" s="290"/>
      <c r="M332" s="290"/>
      <c r="N332" s="290"/>
      <c r="O332" s="290"/>
    </row>
    <row r="333" ht="14.25" customHeight="1">
      <c r="B333" s="227"/>
      <c r="C333" s="290"/>
      <c r="D333" s="290"/>
      <c r="E333" s="290"/>
      <c r="F333" s="290"/>
      <c r="G333" s="290"/>
      <c r="H333" s="290"/>
      <c r="I333" s="290"/>
      <c r="J333" s="290"/>
      <c r="K333" s="290"/>
      <c r="L333" s="290"/>
      <c r="M333" s="290"/>
      <c r="N333" s="290"/>
      <c r="O333" s="290"/>
    </row>
    <row r="334" ht="14.25" customHeight="1">
      <c r="B334" s="227"/>
      <c r="C334" s="290"/>
      <c r="D334" s="290"/>
      <c r="E334" s="290"/>
      <c r="F334" s="290"/>
      <c r="G334" s="290"/>
      <c r="H334" s="290"/>
      <c r="I334" s="290"/>
      <c r="J334" s="290"/>
      <c r="K334" s="290"/>
      <c r="L334" s="290"/>
      <c r="M334" s="290"/>
      <c r="N334" s="290"/>
      <c r="O334" s="290"/>
    </row>
    <row r="335" ht="14.25" customHeight="1">
      <c r="B335" s="227"/>
      <c r="C335" s="290"/>
      <c r="D335" s="290"/>
      <c r="E335" s="290"/>
      <c r="F335" s="290"/>
      <c r="G335" s="290"/>
      <c r="H335" s="290"/>
      <c r="I335" s="290"/>
      <c r="J335" s="290"/>
      <c r="K335" s="290"/>
      <c r="L335" s="290"/>
      <c r="M335" s="290"/>
      <c r="N335" s="290"/>
      <c r="O335" s="290"/>
    </row>
    <row r="336" ht="14.25" customHeight="1">
      <c r="B336" s="227"/>
      <c r="C336" s="290"/>
      <c r="D336" s="290"/>
      <c r="E336" s="290"/>
      <c r="F336" s="290"/>
      <c r="G336" s="290"/>
      <c r="H336" s="290"/>
      <c r="I336" s="290"/>
      <c r="J336" s="290"/>
      <c r="K336" s="290"/>
      <c r="L336" s="290"/>
      <c r="M336" s="290"/>
      <c r="N336" s="290"/>
      <c r="O336" s="290"/>
    </row>
    <row r="337" ht="14.25" customHeight="1">
      <c r="B337" s="227"/>
      <c r="C337" s="290"/>
      <c r="D337" s="290"/>
      <c r="E337" s="290"/>
      <c r="F337" s="290"/>
      <c r="G337" s="290"/>
      <c r="H337" s="290"/>
      <c r="I337" s="290"/>
      <c r="J337" s="290"/>
      <c r="K337" s="290"/>
      <c r="L337" s="290"/>
      <c r="M337" s="290"/>
      <c r="N337" s="290"/>
      <c r="O337" s="290"/>
    </row>
    <row r="338" ht="14.25" customHeight="1">
      <c r="B338" s="227"/>
      <c r="C338" s="290"/>
      <c r="D338" s="290"/>
      <c r="E338" s="290"/>
      <c r="F338" s="290"/>
      <c r="G338" s="290"/>
      <c r="H338" s="290"/>
      <c r="I338" s="290"/>
      <c r="J338" s="290"/>
      <c r="K338" s="290"/>
      <c r="L338" s="290"/>
      <c r="M338" s="290"/>
      <c r="N338" s="290"/>
      <c r="O338" s="290"/>
    </row>
    <row r="339" ht="14.25" customHeight="1">
      <c r="B339" s="227"/>
      <c r="C339" s="290"/>
      <c r="D339" s="290"/>
      <c r="E339" s="290"/>
      <c r="F339" s="290"/>
      <c r="G339" s="290"/>
      <c r="H339" s="290"/>
      <c r="I339" s="290"/>
      <c r="J339" s="290"/>
      <c r="K339" s="290"/>
      <c r="L339" s="290"/>
      <c r="M339" s="290"/>
      <c r="N339" s="290"/>
      <c r="O339" s="290"/>
    </row>
    <row r="340" ht="14.25" customHeight="1">
      <c r="B340" s="227"/>
      <c r="C340" s="290"/>
      <c r="D340" s="290"/>
      <c r="E340" s="290"/>
      <c r="F340" s="290"/>
      <c r="G340" s="290"/>
      <c r="H340" s="290"/>
      <c r="I340" s="290"/>
      <c r="J340" s="290"/>
      <c r="K340" s="290"/>
      <c r="L340" s="290"/>
      <c r="M340" s="290"/>
      <c r="N340" s="290"/>
      <c r="O340" s="290"/>
    </row>
    <row r="341" ht="14.25" customHeight="1">
      <c r="B341" s="227"/>
      <c r="C341" s="290"/>
      <c r="D341" s="290"/>
      <c r="E341" s="290"/>
      <c r="F341" s="290"/>
      <c r="G341" s="290"/>
      <c r="H341" s="290"/>
      <c r="I341" s="290"/>
      <c r="J341" s="290"/>
      <c r="K341" s="290"/>
      <c r="L341" s="290"/>
      <c r="M341" s="290"/>
      <c r="N341" s="290"/>
      <c r="O341" s="290"/>
    </row>
    <row r="342" ht="14.25" customHeight="1">
      <c r="B342" s="227"/>
      <c r="C342" s="290"/>
      <c r="D342" s="290"/>
      <c r="E342" s="290"/>
      <c r="F342" s="290"/>
      <c r="G342" s="290"/>
      <c r="H342" s="290"/>
      <c r="I342" s="290"/>
      <c r="J342" s="290"/>
      <c r="K342" s="290"/>
      <c r="L342" s="290"/>
      <c r="M342" s="290"/>
      <c r="N342" s="290"/>
      <c r="O342" s="290"/>
    </row>
    <row r="343" ht="14.25" customHeight="1">
      <c r="B343" s="227"/>
      <c r="C343" s="290"/>
      <c r="D343" s="290"/>
      <c r="E343" s="290"/>
      <c r="F343" s="290"/>
      <c r="G343" s="290"/>
      <c r="H343" s="290"/>
      <c r="I343" s="290"/>
      <c r="J343" s="290"/>
      <c r="K343" s="290"/>
      <c r="L343" s="290"/>
      <c r="M343" s="290"/>
      <c r="N343" s="290"/>
      <c r="O343" s="290"/>
    </row>
    <row r="344" ht="14.25" customHeight="1">
      <c r="B344" s="227"/>
      <c r="C344" s="290"/>
      <c r="D344" s="290"/>
      <c r="E344" s="290"/>
      <c r="F344" s="290"/>
      <c r="G344" s="290"/>
      <c r="H344" s="290"/>
      <c r="I344" s="290"/>
      <c r="J344" s="290"/>
      <c r="K344" s="290"/>
      <c r="L344" s="290"/>
      <c r="M344" s="290"/>
      <c r="N344" s="290"/>
      <c r="O344" s="290"/>
    </row>
    <row r="345" ht="14.25" customHeight="1">
      <c r="B345" s="227"/>
      <c r="C345" s="290"/>
      <c r="D345" s="290"/>
      <c r="E345" s="290"/>
      <c r="F345" s="290"/>
      <c r="G345" s="290"/>
      <c r="H345" s="290"/>
      <c r="I345" s="290"/>
      <c r="J345" s="290"/>
      <c r="K345" s="290"/>
      <c r="L345" s="290"/>
      <c r="M345" s="290"/>
      <c r="N345" s="290"/>
      <c r="O345" s="290"/>
    </row>
    <row r="346" ht="14.25" customHeight="1">
      <c r="B346" s="227"/>
      <c r="C346" s="290"/>
      <c r="D346" s="290"/>
      <c r="E346" s="290"/>
      <c r="F346" s="290"/>
      <c r="G346" s="290"/>
      <c r="H346" s="290"/>
      <c r="I346" s="290"/>
      <c r="J346" s="290"/>
      <c r="K346" s="290"/>
      <c r="L346" s="290"/>
      <c r="M346" s="290"/>
      <c r="N346" s="290"/>
      <c r="O346" s="290"/>
    </row>
    <row r="347" ht="14.25" customHeight="1">
      <c r="B347" s="227"/>
      <c r="C347" s="290"/>
      <c r="D347" s="290"/>
      <c r="E347" s="290"/>
      <c r="F347" s="290"/>
      <c r="G347" s="290"/>
      <c r="H347" s="290"/>
      <c r="I347" s="290"/>
      <c r="J347" s="290"/>
      <c r="K347" s="290"/>
      <c r="L347" s="290"/>
      <c r="M347" s="290"/>
      <c r="N347" s="290"/>
      <c r="O347" s="290"/>
    </row>
    <row r="348" ht="14.25" customHeight="1">
      <c r="B348" s="227"/>
      <c r="C348" s="290"/>
      <c r="D348" s="290"/>
      <c r="E348" s="290"/>
      <c r="F348" s="290"/>
      <c r="G348" s="290"/>
      <c r="H348" s="290"/>
      <c r="I348" s="290"/>
      <c r="J348" s="290"/>
      <c r="K348" s="290"/>
      <c r="L348" s="290"/>
      <c r="M348" s="290"/>
      <c r="N348" s="290"/>
      <c r="O348" s="290"/>
    </row>
    <row r="349" ht="14.25" customHeight="1">
      <c r="B349" s="227"/>
      <c r="C349" s="290"/>
      <c r="D349" s="290"/>
      <c r="E349" s="290"/>
      <c r="F349" s="290"/>
      <c r="G349" s="290"/>
      <c r="H349" s="290"/>
      <c r="I349" s="290"/>
      <c r="J349" s="290"/>
      <c r="K349" s="290"/>
      <c r="L349" s="290"/>
      <c r="M349" s="290"/>
      <c r="N349" s="290"/>
      <c r="O349" s="290"/>
    </row>
    <row r="350" ht="14.25" customHeight="1">
      <c r="B350" s="227"/>
      <c r="C350" s="290"/>
      <c r="D350" s="290"/>
      <c r="E350" s="290"/>
      <c r="F350" s="290"/>
      <c r="G350" s="290"/>
      <c r="H350" s="290"/>
      <c r="I350" s="290"/>
      <c r="J350" s="290"/>
      <c r="K350" s="290"/>
      <c r="L350" s="290"/>
      <c r="M350" s="290"/>
      <c r="N350" s="290"/>
      <c r="O350" s="290"/>
    </row>
    <row r="351" ht="14.25" customHeight="1">
      <c r="B351" s="227"/>
      <c r="C351" s="290"/>
      <c r="D351" s="290"/>
      <c r="E351" s="290"/>
      <c r="F351" s="290"/>
      <c r="G351" s="290"/>
      <c r="H351" s="290"/>
      <c r="I351" s="290"/>
      <c r="J351" s="290"/>
      <c r="K351" s="290"/>
      <c r="L351" s="290"/>
      <c r="M351" s="290"/>
      <c r="N351" s="290"/>
      <c r="O351" s="290"/>
    </row>
    <row r="352" ht="14.25" customHeight="1">
      <c r="B352" s="227"/>
      <c r="C352" s="290"/>
      <c r="D352" s="290"/>
      <c r="E352" s="290"/>
      <c r="F352" s="290"/>
      <c r="G352" s="290"/>
      <c r="H352" s="290"/>
      <c r="I352" s="290"/>
      <c r="J352" s="290"/>
      <c r="K352" s="290"/>
      <c r="L352" s="290"/>
      <c r="M352" s="290"/>
      <c r="N352" s="290"/>
      <c r="O352" s="290"/>
    </row>
    <row r="353" ht="14.25" customHeight="1">
      <c r="B353" s="227"/>
      <c r="C353" s="290"/>
      <c r="D353" s="290"/>
      <c r="E353" s="290"/>
      <c r="F353" s="290"/>
      <c r="G353" s="290"/>
      <c r="H353" s="290"/>
      <c r="I353" s="290"/>
      <c r="J353" s="290"/>
      <c r="K353" s="290"/>
      <c r="L353" s="290"/>
      <c r="M353" s="290"/>
      <c r="N353" s="290"/>
      <c r="O353" s="290"/>
    </row>
    <row r="354" ht="14.25" customHeight="1">
      <c r="B354" s="227"/>
      <c r="C354" s="290"/>
      <c r="D354" s="290"/>
      <c r="E354" s="290"/>
      <c r="F354" s="290"/>
      <c r="G354" s="290"/>
      <c r="H354" s="290"/>
      <c r="I354" s="290"/>
      <c r="J354" s="290"/>
      <c r="K354" s="290"/>
      <c r="L354" s="290"/>
      <c r="M354" s="290"/>
      <c r="N354" s="290"/>
      <c r="O354" s="290"/>
    </row>
    <row r="355" ht="14.25" customHeight="1">
      <c r="B355" s="227"/>
      <c r="C355" s="290"/>
      <c r="D355" s="290"/>
      <c r="E355" s="290"/>
      <c r="F355" s="290"/>
      <c r="G355" s="290"/>
      <c r="H355" s="290"/>
      <c r="I355" s="290"/>
      <c r="J355" s="290"/>
      <c r="K355" s="290"/>
      <c r="L355" s="290"/>
      <c r="M355" s="290"/>
      <c r="N355" s="290"/>
      <c r="O355" s="290"/>
    </row>
    <row r="356" ht="14.25" customHeight="1">
      <c r="B356" s="227"/>
      <c r="C356" s="290"/>
      <c r="D356" s="290"/>
      <c r="E356" s="290"/>
      <c r="F356" s="290"/>
      <c r="G356" s="290"/>
      <c r="H356" s="290"/>
      <c r="I356" s="290"/>
      <c r="J356" s="290"/>
      <c r="K356" s="290"/>
      <c r="L356" s="290"/>
      <c r="M356" s="290"/>
      <c r="N356" s="290"/>
      <c r="O356" s="290"/>
    </row>
    <row r="357" ht="14.25" customHeight="1">
      <c r="B357" s="227"/>
      <c r="C357" s="290"/>
      <c r="D357" s="290"/>
      <c r="E357" s="290"/>
      <c r="F357" s="290"/>
      <c r="G357" s="290"/>
      <c r="H357" s="290"/>
      <c r="I357" s="290"/>
      <c r="J357" s="290"/>
      <c r="K357" s="290"/>
      <c r="L357" s="290"/>
      <c r="M357" s="290"/>
      <c r="N357" s="290"/>
      <c r="O357" s="290"/>
    </row>
    <row r="358" ht="14.25" customHeight="1">
      <c r="B358" s="227"/>
      <c r="C358" s="290"/>
      <c r="D358" s="290"/>
      <c r="E358" s="290"/>
      <c r="F358" s="290"/>
      <c r="G358" s="290"/>
      <c r="H358" s="290"/>
      <c r="I358" s="290"/>
      <c r="J358" s="290"/>
      <c r="K358" s="290"/>
      <c r="L358" s="290"/>
      <c r="M358" s="290"/>
      <c r="N358" s="290"/>
      <c r="O358" s="290"/>
    </row>
    <row r="359" ht="14.25" customHeight="1">
      <c r="B359" s="227"/>
      <c r="C359" s="290"/>
      <c r="D359" s="290"/>
      <c r="E359" s="290"/>
      <c r="F359" s="290"/>
      <c r="G359" s="290"/>
      <c r="H359" s="290"/>
      <c r="I359" s="290"/>
      <c r="J359" s="290"/>
      <c r="K359" s="290"/>
      <c r="L359" s="290"/>
      <c r="M359" s="290"/>
      <c r="N359" s="290"/>
      <c r="O359" s="290"/>
    </row>
    <row r="360" ht="14.25" customHeight="1">
      <c r="B360" s="227"/>
      <c r="C360" s="290"/>
      <c r="D360" s="290"/>
      <c r="E360" s="290"/>
      <c r="F360" s="290"/>
      <c r="G360" s="290"/>
      <c r="H360" s="290"/>
      <c r="I360" s="290"/>
      <c r="J360" s="290"/>
      <c r="K360" s="290"/>
      <c r="L360" s="290"/>
      <c r="M360" s="290"/>
      <c r="N360" s="290"/>
      <c r="O360" s="290"/>
    </row>
    <row r="361" ht="14.25" customHeight="1">
      <c r="B361" s="227"/>
      <c r="C361" s="290"/>
      <c r="D361" s="290"/>
      <c r="E361" s="290"/>
      <c r="F361" s="290"/>
      <c r="G361" s="290"/>
      <c r="H361" s="290"/>
      <c r="I361" s="290"/>
      <c r="J361" s="290"/>
      <c r="K361" s="290"/>
      <c r="L361" s="290"/>
      <c r="M361" s="290"/>
      <c r="N361" s="290"/>
      <c r="O361" s="290"/>
    </row>
    <row r="362" ht="14.25" customHeight="1">
      <c r="B362" s="227"/>
      <c r="C362" s="290"/>
      <c r="D362" s="290"/>
      <c r="E362" s="290"/>
      <c r="F362" s="290"/>
      <c r="G362" s="290"/>
      <c r="H362" s="290"/>
      <c r="I362" s="290"/>
      <c r="J362" s="290"/>
      <c r="K362" s="290"/>
      <c r="L362" s="290"/>
      <c r="M362" s="290"/>
      <c r="N362" s="290"/>
      <c r="O362" s="290"/>
    </row>
    <row r="363" ht="14.25" customHeight="1">
      <c r="B363" s="227"/>
      <c r="C363" s="290"/>
      <c r="D363" s="290"/>
      <c r="E363" s="290"/>
      <c r="F363" s="290"/>
      <c r="G363" s="290"/>
      <c r="H363" s="290"/>
      <c r="I363" s="290"/>
      <c r="J363" s="290"/>
      <c r="K363" s="290"/>
      <c r="L363" s="290"/>
      <c r="M363" s="290"/>
      <c r="N363" s="290"/>
      <c r="O363" s="290"/>
    </row>
    <row r="364" ht="14.25" customHeight="1">
      <c r="B364" s="227"/>
      <c r="C364" s="290"/>
      <c r="D364" s="290"/>
      <c r="E364" s="290"/>
      <c r="F364" s="290"/>
      <c r="G364" s="290"/>
      <c r="H364" s="290"/>
      <c r="I364" s="290"/>
      <c r="J364" s="290"/>
      <c r="K364" s="290"/>
      <c r="L364" s="290"/>
      <c r="M364" s="290"/>
      <c r="N364" s="290"/>
      <c r="O364" s="290"/>
    </row>
    <row r="365" ht="14.25" customHeight="1">
      <c r="B365" s="227"/>
      <c r="C365" s="290"/>
      <c r="D365" s="290"/>
      <c r="E365" s="290"/>
      <c r="F365" s="290"/>
      <c r="G365" s="290"/>
      <c r="H365" s="290"/>
      <c r="I365" s="290"/>
      <c r="J365" s="290"/>
      <c r="K365" s="290"/>
      <c r="L365" s="290"/>
      <c r="M365" s="290"/>
      <c r="N365" s="290"/>
      <c r="O365" s="290"/>
    </row>
    <row r="366" ht="14.25" customHeight="1">
      <c r="B366" s="227"/>
      <c r="C366" s="290"/>
      <c r="D366" s="290"/>
      <c r="E366" s="290"/>
      <c r="F366" s="290"/>
      <c r="G366" s="290"/>
      <c r="H366" s="290"/>
      <c r="I366" s="290"/>
      <c r="J366" s="290"/>
      <c r="K366" s="290"/>
      <c r="L366" s="290"/>
      <c r="M366" s="290"/>
      <c r="N366" s="290"/>
      <c r="O366" s="290"/>
    </row>
    <row r="367" ht="14.25" customHeight="1">
      <c r="B367" s="227"/>
      <c r="C367" s="290"/>
      <c r="D367" s="290"/>
      <c r="E367" s="290"/>
      <c r="F367" s="290"/>
      <c r="G367" s="290"/>
      <c r="H367" s="290"/>
      <c r="I367" s="290"/>
      <c r="J367" s="290"/>
      <c r="K367" s="290"/>
      <c r="L367" s="290"/>
      <c r="M367" s="290"/>
      <c r="N367" s="290"/>
      <c r="O367" s="290"/>
    </row>
    <row r="368" ht="14.25" customHeight="1">
      <c r="B368" s="227"/>
      <c r="C368" s="290"/>
      <c r="D368" s="290"/>
      <c r="E368" s="290"/>
      <c r="F368" s="290"/>
      <c r="G368" s="290"/>
      <c r="H368" s="290"/>
      <c r="I368" s="290"/>
      <c r="J368" s="290"/>
      <c r="K368" s="290"/>
      <c r="L368" s="290"/>
      <c r="M368" s="290"/>
      <c r="N368" s="290"/>
      <c r="O368" s="290"/>
    </row>
    <row r="369" ht="14.25" customHeight="1">
      <c r="B369" s="227"/>
      <c r="C369" s="290"/>
      <c r="D369" s="290"/>
      <c r="E369" s="290"/>
      <c r="F369" s="290"/>
      <c r="G369" s="290"/>
      <c r="H369" s="290"/>
      <c r="I369" s="290"/>
      <c r="J369" s="290"/>
      <c r="K369" s="290"/>
      <c r="L369" s="290"/>
      <c r="M369" s="290"/>
      <c r="N369" s="290"/>
      <c r="O369" s="290"/>
    </row>
    <row r="370" ht="14.25" customHeight="1">
      <c r="B370" s="227"/>
      <c r="C370" s="290"/>
      <c r="D370" s="290"/>
      <c r="E370" s="290"/>
      <c r="F370" s="290"/>
      <c r="G370" s="290"/>
      <c r="H370" s="290"/>
      <c r="I370" s="290"/>
      <c r="J370" s="290"/>
      <c r="K370" s="290"/>
      <c r="L370" s="290"/>
      <c r="M370" s="290"/>
      <c r="N370" s="290"/>
      <c r="O370" s="290"/>
    </row>
    <row r="371" ht="14.25" customHeight="1">
      <c r="B371" s="227"/>
      <c r="C371" s="290"/>
      <c r="D371" s="290"/>
      <c r="E371" s="290"/>
      <c r="F371" s="290"/>
      <c r="G371" s="290"/>
      <c r="H371" s="290"/>
      <c r="I371" s="290"/>
      <c r="J371" s="290"/>
      <c r="K371" s="290"/>
      <c r="L371" s="290"/>
      <c r="M371" s="290"/>
      <c r="N371" s="290"/>
      <c r="O371" s="290"/>
    </row>
    <row r="372" ht="14.25" customHeight="1">
      <c r="B372" s="227"/>
      <c r="C372" s="290"/>
      <c r="D372" s="290"/>
      <c r="E372" s="290"/>
      <c r="F372" s="290"/>
      <c r="G372" s="290"/>
      <c r="H372" s="290"/>
      <c r="I372" s="290"/>
      <c r="J372" s="290"/>
      <c r="K372" s="290"/>
      <c r="L372" s="290"/>
      <c r="M372" s="290"/>
      <c r="N372" s="290"/>
      <c r="O372" s="290"/>
    </row>
    <row r="373" ht="14.25" customHeight="1">
      <c r="B373" s="227"/>
      <c r="C373" s="290"/>
      <c r="D373" s="290"/>
      <c r="E373" s="290"/>
      <c r="F373" s="290"/>
      <c r="G373" s="290"/>
      <c r="H373" s="290"/>
      <c r="I373" s="290"/>
      <c r="J373" s="290"/>
      <c r="K373" s="290"/>
      <c r="L373" s="290"/>
      <c r="M373" s="290"/>
      <c r="N373" s="290"/>
      <c r="O373" s="290"/>
    </row>
    <row r="374" ht="14.25" customHeight="1">
      <c r="B374" s="227"/>
      <c r="C374" s="290"/>
      <c r="D374" s="290"/>
      <c r="E374" s="290"/>
      <c r="F374" s="290"/>
      <c r="G374" s="290"/>
      <c r="H374" s="290"/>
      <c r="I374" s="290"/>
      <c r="J374" s="290"/>
      <c r="K374" s="290"/>
      <c r="L374" s="290"/>
      <c r="M374" s="290"/>
      <c r="N374" s="290"/>
      <c r="O374" s="290"/>
    </row>
    <row r="375" ht="14.25" customHeight="1">
      <c r="B375" s="227"/>
      <c r="C375" s="290"/>
      <c r="D375" s="290"/>
      <c r="E375" s="290"/>
      <c r="F375" s="290"/>
      <c r="G375" s="290"/>
      <c r="H375" s="290"/>
      <c r="I375" s="290"/>
      <c r="J375" s="290"/>
      <c r="K375" s="290"/>
      <c r="L375" s="290"/>
      <c r="M375" s="290"/>
      <c r="N375" s="290"/>
      <c r="O375" s="290"/>
    </row>
    <row r="376" ht="14.25" customHeight="1">
      <c r="B376" s="227"/>
      <c r="C376" s="290"/>
      <c r="D376" s="290"/>
      <c r="E376" s="290"/>
      <c r="F376" s="290"/>
      <c r="G376" s="290"/>
      <c r="H376" s="290"/>
      <c r="I376" s="290"/>
      <c r="J376" s="290"/>
      <c r="K376" s="290"/>
      <c r="L376" s="290"/>
      <c r="M376" s="290"/>
      <c r="N376" s="290"/>
      <c r="O376" s="290"/>
    </row>
    <row r="377" ht="14.25" customHeight="1">
      <c r="B377" s="227"/>
      <c r="C377" s="290"/>
      <c r="D377" s="290"/>
      <c r="E377" s="290"/>
      <c r="F377" s="290"/>
      <c r="G377" s="290"/>
      <c r="H377" s="290"/>
      <c r="I377" s="290"/>
      <c r="J377" s="290"/>
      <c r="K377" s="290"/>
      <c r="L377" s="290"/>
      <c r="M377" s="290"/>
      <c r="N377" s="290"/>
      <c r="O377" s="290"/>
    </row>
    <row r="378" ht="14.25" customHeight="1">
      <c r="B378" s="227"/>
      <c r="C378" s="290"/>
      <c r="D378" s="290"/>
      <c r="E378" s="290"/>
      <c r="F378" s="290"/>
      <c r="G378" s="290"/>
      <c r="H378" s="290"/>
      <c r="I378" s="290"/>
      <c r="J378" s="290"/>
      <c r="K378" s="290"/>
      <c r="L378" s="290"/>
      <c r="M378" s="290"/>
      <c r="N378" s="290"/>
      <c r="O378" s="290"/>
    </row>
    <row r="379" ht="14.25" customHeight="1">
      <c r="B379" s="227"/>
      <c r="C379" s="290"/>
      <c r="D379" s="290"/>
      <c r="E379" s="290"/>
      <c r="F379" s="290"/>
      <c r="G379" s="290"/>
      <c r="H379" s="290"/>
      <c r="I379" s="290"/>
      <c r="J379" s="290"/>
      <c r="K379" s="290"/>
      <c r="L379" s="290"/>
      <c r="M379" s="290"/>
      <c r="N379" s="290"/>
      <c r="O379" s="290"/>
    </row>
    <row r="380" ht="14.25" customHeight="1">
      <c r="B380" s="227"/>
      <c r="C380" s="290"/>
      <c r="D380" s="290"/>
      <c r="E380" s="290"/>
      <c r="F380" s="290"/>
      <c r="G380" s="290"/>
      <c r="H380" s="290"/>
      <c r="I380" s="290"/>
      <c r="J380" s="290"/>
      <c r="K380" s="290"/>
      <c r="L380" s="290"/>
      <c r="M380" s="290"/>
      <c r="N380" s="290"/>
      <c r="O380" s="290"/>
    </row>
    <row r="381" ht="14.25" customHeight="1">
      <c r="B381" s="227"/>
      <c r="C381" s="290"/>
      <c r="D381" s="290"/>
      <c r="E381" s="290"/>
      <c r="F381" s="290"/>
      <c r="G381" s="290"/>
      <c r="H381" s="290"/>
      <c r="I381" s="290"/>
      <c r="J381" s="290"/>
      <c r="K381" s="290"/>
      <c r="L381" s="290"/>
      <c r="M381" s="290"/>
      <c r="N381" s="290"/>
      <c r="O381" s="290"/>
    </row>
    <row r="382" ht="14.25" customHeight="1">
      <c r="B382" s="227"/>
      <c r="C382" s="290"/>
      <c r="D382" s="290"/>
      <c r="E382" s="290"/>
      <c r="F382" s="290"/>
      <c r="G382" s="290"/>
      <c r="H382" s="290"/>
      <c r="I382" s="290"/>
      <c r="J382" s="290"/>
      <c r="K382" s="290"/>
      <c r="L382" s="290"/>
      <c r="M382" s="290"/>
      <c r="N382" s="290"/>
      <c r="O382" s="290"/>
    </row>
    <row r="383" ht="14.25" customHeight="1">
      <c r="B383" s="227"/>
      <c r="C383" s="290"/>
      <c r="D383" s="290"/>
      <c r="E383" s="290"/>
      <c r="F383" s="290"/>
      <c r="G383" s="290"/>
      <c r="H383" s="290"/>
      <c r="I383" s="290"/>
      <c r="J383" s="290"/>
      <c r="K383" s="290"/>
      <c r="L383" s="290"/>
      <c r="M383" s="290"/>
      <c r="N383" s="290"/>
      <c r="O383" s="290"/>
    </row>
    <row r="384" ht="14.25" customHeight="1">
      <c r="B384" s="227"/>
      <c r="C384" s="290"/>
      <c r="D384" s="290"/>
      <c r="E384" s="290"/>
      <c r="F384" s="290"/>
      <c r="G384" s="290"/>
      <c r="H384" s="290"/>
      <c r="I384" s="290"/>
      <c r="J384" s="290"/>
      <c r="K384" s="290"/>
      <c r="L384" s="290"/>
      <c r="M384" s="290"/>
      <c r="N384" s="290"/>
      <c r="O384" s="290"/>
    </row>
    <row r="385" ht="14.25" customHeight="1">
      <c r="B385" s="227"/>
      <c r="C385" s="290"/>
      <c r="D385" s="290"/>
      <c r="E385" s="290"/>
      <c r="F385" s="290"/>
      <c r="G385" s="290"/>
      <c r="H385" s="290"/>
      <c r="I385" s="290"/>
      <c r="J385" s="290"/>
      <c r="K385" s="290"/>
      <c r="L385" s="290"/>
      <c r="M385" s="290"/>
      <c r="N385" s="290"/>
      <c r="O385" s="290"/>
    </row>
    <row r="386" ht="14.25" customHeight="1">
      <c r="B386" s="227"/>
      <c r="C386" s="290"/>
      <c r="D386" s="290"/>
      <c r="E386" s="290"/>
      <c r="F386" s="290"/>
      <c r="G386" s="290"/>
      <c r="H386" s="290"/>
      <c r="I386" s="290"/>
      <c r="J386" s="290"/>
      <c r="K386" s="290"/>
      <c r="L386" s="290"/>
      <c r="M386" s="290"/>
      <c r="N386" s="290"/>
      <c r="O386" s="290"/>
    </row>
    <row r="387" ht="14.25" customHeight="1">
      <c r="B387" s="227"/>
      <c r="C387" s="290"/>
      <c r="D387" s="290"/>
      <c r="E387" s="290"/>
      <c r="F387" s="290"/>
      <c r="G387" s="290"/>
      <c r="H387" s="290"/>
      <c r="I387" s="290"/>
      <c r="J387" s="290"/>
      <c r="K387" s="290"/>
      <c r="L387" s="290"/>
      <c r="M387" s="290"/>
      <c r="N387" s="290"/>
      <c r="O387" s="290"/>
    </row>
    <row r="388" ht="14.25" customHeight="1">
      <c r="B388" s="227"/>
      <c r="C388" s="290"/>
      <c r="D388" s="290"/>
      <c r="E388" s="290"/>
      <c r="F388" s="290"/>
      <c r="G388" s="290"/>
      <c r="H388" s="290"/>
      <c r="I388" s="290"/>
      <c r="J388" s="290"/>
      <c r="K388" s="290"/>
      <c r="L388" s="290"/>
      <c r="M388" s="290"/>
      <c r="N388" s="290"/>
      <c r="O388" s="290"/>
    </row>
    <row r="389" ht="14.25" customHeight="1">
      <c r="B389" s="227"/>
      <c r="C389" s="290"/>
      <c r="D389" s="290"/>
      <c r="E389" s="290"/>
      <c r="F389" s="290"/>
      <c r="G389" s="290"/>
      <c r="H389" s="290"/>
      <c r="I389" s="290"/>
      <c r="J389" s="290"/>
      <c r="K389" s="290"/>
      <c r="L389" s="290"/>
      <c r="M389" s="290"/>
      <c r="N389" s="290"/>
      <c r="O389" s="290"/>
    </row>
    <row r="390" ht="14.25" customHeight="1">
      <c r="B390" s="227"/>
      <c r="C390" s="290"/>
      <c r="D390" s="290"/>
      <c r="E390" s="290"/>
      <c r="F390" s="290"/>
      <c r="G390" s="290"/>
      <c r="H390" s="290"/>
      <c r="I390" s="290"/>
      <c r="J390" s="290"/>
      <c r="K390" s="290"/>
      <c r="L390" s="290"/>
      <c r="M390" s="290"/>
      <c r="N390" s="290"/>
      <c r="O390" s="290"/>
    </row>
    <row r="391" ht="14.25" customHeight="1">
      <c r="B391" s="227"/>
      <c r="C391" s="290"/>
      <c r="D391" s="290"/>
      <c r="E391" s="290"/>
      <c r="F391" s="290"/>
      <c r="G391" s="290"/>
      <c r="H391" s="290"/>
      <c r="I391" s="290"/>
      <c r="J391" s="290"/>
      <c r="K391" s="290"/>
      <c r="L391" s="290"/>
      <c r="M391" s="290"/>
      <c r="N391" s="290"/>
      <c r="O391" s="290"/>
    </row>
    <row r="392" ht="14.25" customHeight="1">
      <c r="B392" s="227"/>
      <c r="C392" s="290"/>
      <c r="D392" s="290"/>
      <c r="E392" s="290"/>
      <c r="F392" s="290"/>
      <c r="G392" s="290"/>
      <c r="H392" s="290"/>
      <c r="I392" s="290"/>
      <c r="J392" s="290"/>
      <c r="K392" s="290"/>
      <c r="L392" s="290"/>
      <c r="M392" s="290"/>
      <c r="N392" s="290"/>
      <c r="O392" s="290"/>
    </row>
    <row r="393" ht="14.25" customHeight="1">
      <c r="B393" s="227"/>
      <c r="C393" s="290"/>
      <c r="D393" s="290"/>
      <c r="E393" s="290"/>
      <c r="F393" s="290"/>
      <c r="G393" s="290"/>
      <c r="H393" s="290"/>
      <c r="I393" s="290"/>
      <c r="J393" s="290"/>
      <c r="K393" s="290"/>
      <c r="L393" s="290"/>
      <c r="M393" s="290"/>
      <c r="N393" s="290"/>
      <c r="O393" s="290"/>
    </row>
    <row r="394" ht="14.25" customHeight="1">
      <c r="B394" s="227"/>
      <c r="C394" s="290"/>
      <c r="D394" s="290"/>
      <c r="E394" s="290"/>
      <c r="F394" s="290"/>
      <c r="G394" s="290"/>
      <c r="H394" s="290"/>
      <c r="I394" s="290"/>
      <c r="J394" s="290"/>
      <c r="K394" s="290"/>
      <c r="L394" s="290"/>
      <c r="M394" s="290"/>
      <c r="N394" s="290"/>
      <c r="O394" s="290"/>
    </row>
    <row r="395" ht="14.25" customHeight="1">
      <c r="B395" s="227"/>
      <c r="C395" s="290"/>
      <c r="D395" s="290"/>
      <c r="E395" s="290"/>
      <c r="F395" s="290"/>
      <c r="G395" s="290"/>
      <c r="H395" s="290"/>
      <c r="I395" s="290"/>
      <c r="J395" s="290"/>
      <c r="K395" s="290"/>
      <c r="L395" s="290"/>
      <c r="M395" s="290"/>
      <c r="N395" s="290"/>
      <c r="O395" s="290"/>
    </row>
    <row r="396" ht="14.25" customHeight="1">
      <c r="B396" s="227"/>
      <c r="C396" s="290"/>
      <c r="D396" s="290"/>
      <c r="E396" s="290"/>
      <c r="F396" s="290"/>
      <c r="G396" s="290"/>
      <c r="H396" s="290"/>
      <c r="I396" s="290"/>
      <c r="J396" s="290"/>
      <c r="K396" s="290"/>
      <c r="L396" s="290"/>
      <c r="M396" s="290"/>
      <c r="N396" s="290"/>
      <c r="O396" s="290"/>
    </row>
    <row r="397" ht="14.25" customHeight="1">
      <c r="B397" s="227"/>
      <c r="C397" s="290"/>
      <c r="D397" s="290"/>
      <c r="E397" s="290"/>
      <c r="F397" s="290"/>
      <c r="G397" s="290"/>
      <c r="H397" s="290"/>
      <c r="I397" s="290"/>
      <c r="J397" s="290"/>
      <c r="K397" s="290"/>
      <c r="L397" s="290"/>
      <c r="M397" s="290"/>
      <c r="N397" s="290"/>
      <c r="O397" s="290"/>
    </row>
    <row r="398" ht="14.25" customHeight="1">
      <c r="B398" s="227"/>
      <c r="C398" s="290"/>
      <c r="D398" s="290"/>
      <c r="E398" s="290"/>
      <c r="F398" s="290"/>
      <c r="G398" s="290"/>
      <c r="H398" s="290"/>
      <c r="I398" s="290"/>
      <c r="J398" s="290"/>
      <c r="K398" s="290"/>
      <c r="L398" s="290"/>
      <c r="M398" s="290"/>
      <c r="N398" s="290"/>
      <c r="O398" s="290"/>
    </row>
    <row r="399" ht="14.25" customHeight="1">
      <c r="B399" s="227"/>
      <c r="C399" s="290"/>
      <c r="D399" s="290"/>
      <c r="E399" s="290"/>
      <c r="F399" s="290"/>
      <c r="G399" s="290"/>
      <c r="H399" s="290"/>
      <c r="I399" s="290"/>
      <c r="J399" s="290"/>
      <c r="K399" s="290"/>
      <c r="L399" s="290"/>
      <c r="M399" s="290"/>
      <c r="N399" s="290"/>
      <c r="O399" s="290"/>
    </row>
    <row r="400" ht="14.25" customHeight="1">
      <c r="B400" s="227"/>
      <c r="C400" s="290"/>
      <c r="D400" s="290"/>
      <c r="E400" s="290"/>
      <c r="F400" s="290"/>
      <c r="G400" s="290"/>
      <c r="H400" s="290"/>
      <c r="I400" s="290"/>
      <c r="J400" s="290"/>
      <c r="K400" s="290"/>
      <c r="L400" s="290"/>
      <c r="M400" s="290"/>
      <c r="N400" s="290"/>
      <c r="O400" s="290"/>
    </row>
    <row r="401" ht="14.25" customHeight="1">
      <c r="B401" s="227"/>
      <c r="C401" s="290"/>
      <c r="D401" s="290"/>
      <c r="E401" s="290"/>
      <c r="F401" s="290"/>
      <c r="G401" s="290"/>
      <c r="H401" s="290"/>
      <c r="I401" s="290"/>
      <c r="J401" s="290"/>
      <c r="K401" s="290"/>
      <c r="L401" s="290"/>
      <c r="M401" s="290"/>
      <c r="N401" s="290"/>
      <c r="O401" s="290"/>
    </row>
    <row r="402" ht="14.25" customHeight="1">
      <c r="B402" s="227"/>
      <c r="C402" s="290"/>
      <c r="D402" s="290"/>
      <c r="E402" s="290"/>
      <c r="F402" s="290"/>
      <c r="G402" s="290"/>
      <c r="H402" s="290"/>
      <c r="I402" s="290"/>
      <c r="J402" s="290"/>
      <c r="K402" s="290"/>
      <c r="L402" s="290"/>
      <c r="M402" s="290"/>
      <c r="N402" s="290"/>
      <c r="O402" s="290"/>
    </row>
    <row r="403" ht="14.25" customHeight="1">
      <c r="B403" s="227"/>
      <c r="C403" s="290"/>
      <c r="D403" s="290"/>
      <c r="E403" s="290"/>
      <c r="F403" s="290"/>
      <c r="G403" s="290"/>
      <c r="H403" s="290"/>
      <c r="I403" s="290"/>
      <c r="J403" s="290"/>
      <c r="K403" s="290"/>
      <c r="L403" s="290"/>
      <c r="M403" s="290"/>
      <c r="N403" s="290"/>
      <c r="O403" s="290"/>
    </row>
    <row r="404" ht="14.25" customHeight="1">
      <c r="B404" s="227"/>
      <c r="C404" s="290"/>
      <c r="D404" s="290"/>
      <c r="E404" s="290"/>
      <c r="F404" s="290"/>
      <c r="G404" s="290"/>
      <c r="H404" s="290"/>
      <c r="I404" s="290"/>
      <c r="J404" s="290"/>
      <c r="K404" s="290"/>
      <c r="L404" s="290"/>
      <c r="M404" s="290"/>
      <c r="N404" s="290"/>
      <c r="O404" s="290"/>
    </row>
    <row r="405" ht="14.25" customHeight="1">
      <c r="B405" s="227"/>
      <c r="C405" s="290"/>
      <c r="D405" s="290"/>
      <c r="E405" s="290"/>
      <c r="F405" s="290"/>
      <c r="G405" s="290"/>
      <c r="H405" s="290"/>
      <c r="I405" s="290"/>
      <c r="J405" s="290"/>
      <c r="K405" s="290"/>
      <c r="L405" s="290"/>
      <c r="M405" s="290"/>
      <c r="N405" s="290"/>
      <c r="O405" s="290"/>
    </row>
    <row r="406" ht="14.25" customHeight="1">
      <c r="B406" s="227"/>
      <c r="C406" s="290"/>
      <c r="D406" s="290"/>
      <c r="E406" s="290"/>
      <c r="F406" s="290"/>
      <c r="G406" s="290"/>
      <c r="H406" s="290"/>
      <c r="I406" s="290"/>
      <c r="J406" s="290"/>
      <c r="K406" s="290"/>
      <c r="L406" s="290"/>
      <c r="M406" s="290"/>
      <c r="N406" s="290"/>
      <c r="O406" s="290"/>
    </row>
    <row r="407" ht="14.25" customHeight="1">
      <c r="B407" s="227"/>
      <c r="C407" s="290"/>
      <c r="D407" s="290"/>
      <c r="E407" s="290"/>
      <c r="F407" s="290"/>
      <c r="G407" s="290"/>
      <c r="H407" s="290"/>
      <c r="I407" s="290"/>
      <c r="J407" s="290"/>
      <c r="K407" s="290"/>
      <c r="L407" s="290"/>
      <c r="M407" s="290"/>
      <c r="N407" s="290"/>
      <c r="O407" s="290"/>
    </row>
    <row r="408" ht="14.25" customHeight="1">
      <c r="B408" s="227"/>
      <c r="C408" s="290"/>
      <c r="D408" s="290"/>
      <c r="E408" s="290"/>
      <c r="F408" s="290"/>
      <c r="G408" s="290"/>
      <c r="H408" s="290"/>
      <c r="I408" s="290"/>
      <c r="J408" s="290"/>
      <c r="K408" s="290"/>
      <c r="L408" s="290"/>
      <c r="M408" s="290"/>
      <c r="N408" s="290"/>
      <c r="O408" s="290"/>
    </row>
    <row r="409" ht="14.25" customHeight="1">
      <c r="B409" s="227"/>
      <c r="C409" s="290"/>
      <c r="D409" s="290"/>
      <c r="E409" s="290"/>
      <c r="F409" s="290"/>
      <c r="G409" s="290"/>
      <c r="H409" s="290"/>
      <c r="I409" s="290"/>
      <c r="J409" s="290"/>
      <c r="K409" s="290"/>
      <c r="L409" s="290"/>
      <c r="M409" s="290"/>
      <c r="N409" s="290"/>
      <c r="O409" s="290"/>
    </row>
    <row r="410" ht="14.25" customHeight="1">
      <c r="B410" s="227"/>
      <c r="C410" s="290"/>
      <c r="D410" s="290"/>
      <c r="E410" s="290"/>
      <c r="F410" s="290"/>
      <c r="G410" s="290"/>
      <c r="H410" s="290"/>
      <c r="I410" s="290"/>
      <c r="J410" s="290"/>
      <c r="K410" s="290"/>
      <c r="L410" s="290"/>
      <c r="M410" s="290"/>
      <c r="N410" s="290"/>
      <c r="O410" s="290"/>
    </row>
    <row r="411" ht="14.25" customHeight="1">
      <c r="B411" s="227"/>
      <c r="C411" s="290"/>
      <c r="D411" s="290"/>
      <c r="E411" s="290"/>
      <c r="F411" s="290"/>
      <c r="G411" s="290"/>
      <c r="H411" s="290"/>
      <c r="I411" s="290"/>
      <c r="J411" s="290"/>
      <c r="K411" s="290"/>
      <c r="L411" s="290"/>
      <c r="M411" s="290"/>
      <c r="N411" s="290"/>
      <c r="O411" s="290"/>
    </row>
    <row r="412" ht="14.25" customHeight="1">
      <c r="B412" s="227"/>
      <c r="C412" s="290"/>
      <c r="D412" s="290"/>
      <c r="E412" s="290"/>
      <c r="F412" s="290"/>
      <c r="G412" s="290"/>
      <c r="H412" s="290"/>
      <c r="I412" s="290"/>
      <c r="J412" s="290"/>
      <c r="K412" s="290"/>
      <c r="L412" s="290"/>
      <c r="M412" s="290"/>
      <c r="N412" s="290"/>
      <c r="O412" s="290"/>
    </row>
    <row r="413" ht="14.25" customHeight="1">
      <c r="B413" s="227"/>
      <c r="C413" s="290"/>
      <c r="D413" s="290"/>
      <c r="E413" s="290"/>
      <c r="F413" s="290"/>
      <c r="G413" s="290"/>
      <c r="H413" s="290"/>
      <c r="I413" s="290"/>
      <c r="J413" s="290"/>
      <c r="K413" s="290"/>
      <c r="L413" s="290"/>
      <c r="M413" s="290"/>
      <c r="N413" s="290"/>
      <c r="O413" s="290"/>
    </row>
    <row r="414" ht="14.25" customHeight="1">
      <c r="B414" s="227"/>
      <c r="C414" s="290"/>
      <c r="D414" s="290"/>
      <c r="E414" s="290"/>
      <c r="F414" s="290"/>
      <c r="G414" s="290"/>
      <c r="H414" s="290"/>
      <c r="I414" s="290"/>
      <c r="J414" s="290"/>
      <c r="K414" s="290"/>
      <c r="L414" s="290"/>
      <c r="M414" s="290"/>
      <c r="N414" s="290"/>
      <c r="O414" s="290"/>
    </row>
    <row r="415" ht="14.25" customHeight="1">
      <c r="B415" s="227"/>
      <c r="C415" s="290"/>
      <c r="D415" s="290"/>
      <c r="E415" s="290"/>
      <c r="F415" s="290"/>
      <c r="G415" s="290"/>
      <c r="H415" s="290"/>
      <c r="I415" s="290"/>
      <c r="J415" s="290"/>
      <c r="K415" s="290"/>
      <c r="L415" s="290"/>
      <c r="M415" s="290"/>
      <c r="N415" s="290"/>
      <c r="O415" s="290"/>
    </row>
    <row r="416" ht="14.25" customHeight="1">
      <c r="B416" s="227"/>
      <c r="C416" s="290"/>
      <c r="D416" s="290"/>
      <c r="E416" s="290"/>
      <c r="F416" s="290"/>
      <c r="G416" s="290"/>
      <c r="H416" s="290"/>
      <c r="I416" s="290"/>
      <c r="J416" s="290"/>
      <c r="K416" s="290"/>
      <c r="L416" s="290"/>
      <c r="M416" s="290"/>
      <c r="N416" s="290"/>
      <c r="O416" s="290"/>
    </row>
    <row r="417" ht="14.25" customHeight="1">
      <c r="B417" s="227"/>
      <c r="C417" s="290"/>
      <c r="D417" s="290"/>
      <c r="E417" s="290"/>
      <c r="F417" s="290"/>
      <c r="G417" s="290"/>
      <c r="H417" s="290"/>
      <c r="I417" s="290"/>
      <c r="J417" s="290"/>
      <c r="K417" s="290"/>
      <c r="L417" s="290"/>
      <c r="M417" s="290"/>
      <c r="N417" s="290"/>
      <c r="O417" s="290"/>
    </row>
    <row r="418" ht="14.25" customHeight="1">
      <c r="B418" s="227"/>
      <c r="C418" s="290"/>
      <c r="D418" s="290"/>
      <c r="E418" s="290"/>
      <c r="F418" s="290"/>
      <c r="G418" s="290"/>
      <c r="H418" s="290"/>
      <c r="I418" s="290"/>
      <c r="J418" s="290"/>
      <c r="K418" s="290"/>
      <c r="L418" s="290"/>
      <c r="M418" s="290"/>
      <c r="N418" s="290"/>
      <c r="O418" s="290"/>
    </row>
    <row r="419" ht="14.25" customHeight="1">
      <c r="B419" s="227"/>
      <c r="C419" s="290"/>
      <c r="D419" s="290"/>
      <c r="E419" s="290"/>
      <c r="F419" s="290"/>
      <c r="G419" s="290"/>
      <c r="H419" s="290"/>
      <c r="I419" s="290"/>
      <c r="J419" s="290"/>
      <c r="K419" s="290"/>
      <c r="L419" s="290"/>
      <c r="M419" s="290"/>
      <c r="N419" s="290"/>
      <c r="O419" s="290"/>
    </row>
    <row r="420" ht="14.25" customHeight="1">
      <c r="B420" s="227"/>
      <c r="C420" s="290"/>
      <c r="D420" s="290"/>
      <c r="E420" s="290"/>
      <c r="F420" s="290"/>
      <c r="G420" s="290"/>
      <c r="H420" s="290"/>
      <c r="I420" s="290"/>
      <c r="J420" s="290"/>
      <c r="K420" s="290"/>
      <c r="L420" s="290"/>
      <c r="M420" s="290"/>
      <c r="N420" s="290"/>
      <c r="O420" s="290"/>
    </row>
    <row r="421" ht="14.25" customHeight="1">
      <c r="B421" s="227"/>
      <c r="C421" s="290"/>
      <c r="D421" s="290"/>
      <c r="E421" s="290"/>
      <c r="F421" s="290"/>
      <c r="G421" s="290"/>
      <c r="H421" s="290"/>
      <c r="I421" s="290"/>
      <c r="J421" s="290"/>
      <c r="K421" s="290"/>
      <c r="L421" s="290"/>
      <c r="M421" s="290"/>
      <c r="N421" s="290"/>
      <c r="O421" s="290"/>
    </row>
    <row r="422" ht="14.25" customHeight="1">
      <c r="B422" s="227"/>
      <c r="C422" s="290"/>
      <c r="D422" s="290"/>
      <c r="E422" s="290"/>
      <c r="F422" s="290"/>
      <c r="G422" s="290"/>
      <c r="H422" s="290"/>
      <c r="I422" s="290"/>
      <c r="J422" s="290"/>
      <c r="K422" s="290"/>
      <c r="L422" s="290"/>
      <c r="M422" s="290"/>
      <c r="N422" s="290"/>
      <c r="O422" s="290"/>
    </row>
    <row r="423" ht="14.25" customHeight="1">
      <c r="B423" s="227"/>
      <c r="C423" s="290"/>
      <c r="D423" s="290"/>
      <c r="E423" s="290"/>
      <c r="F423" s="290"/>
      <c r="G423" s="290"/>
      <c r="H423" s="290"/>
      <c r="I423" s="290"/>
      <c r="J423" s="290"/>
      <c r="K423" s="290"/>
      <c r="L423" s="290"/>
      <c r="M423" s="290"/>
      <c r="N423" s="290"/>
      <c r="O423" s="290"/>
    </row>
    <row r="424" ht="14.25" customHeight="1">
      <c r="B424" s="227"/>
      <c r="C424" s="290"/>
      <c r="D424" s="290"/>
      <c r="E424" s="290"/>
      <c r="F424" s="290"/>
      <c r="G424" s="290"/>
      <c r="H424" s="290"/>
      <c r="I424" s="290"/>
      <c r="J424" s="290"/>
      <c r="K424" s="290"/>
      <c r="L424" s="290"/>
      <c r="M424" s="290"/>
      <c r="N424" s="290"/>
      <c r="O424" s="290"/>
    </row>
    <row r="425" ht="14.25" customHeight="1">
      <c r="B425" s="227"/>
      <c r="C425" s="290"/>
      <c r="D425" s="290"/>
      <c r="E425" s="290"/>
      <c r="F425" s="290"/>
      <c r="G425" s="290"/>
      <c r="H425" s="290"/>
      <c r="I425" s="290"/>
      <c r="J425" s="290"/>
      <c r="K425" s="290"/>
      <c r="L425" s="290"/>
      <c r="M425" s="290"/>
      <c r="N425" s="290"/>
      <c r="O425" s="290"/>
    </row>
    <row r="426" ht="14.25" customHeight="1">
      <c r="B426" s="227"/>
      <c r="C426" s="290"/>
      <c r="D426" s="290"/>
      <c r="E426" s="290"/>
      <c r="F426" s="290"/>
      <c r="G426" s="290"/>
      <c r="H426" s="290"/>
      <c r="I426" s="290"/>
      <c r="J426" s="290"/>
      <c r="K426" s="290"/>
      <c r="L426" s="290"/>
      <c r="M426" s="290"/>
      <c r="N426" s="290"/>
      <c r="O426" s="290"/>
    </row>
    <row r="427" ht="14.25" customHeight="1">
      <c r="B427" s="227"/>
      <c r="C427" s="290"/>
      <c r="D427" s="290"/>
      <c r="E427" s="290"/>
      <c r="F427" s="290"/>
      <c r="G427" s="290"/>
      <c r="H427" s="290"/>
      <c r="I427" s="290"/>
      <c r="J427" s="290"/>
      <c r="K427" s="290"/>
      <c r="L427" s="290"/>
      <c r="M427" s="290"/>
      <c r="N427" s="290"/>
      <c r="O427" s="290"/>
    </row>
    <row r="428" ht="14.25" customHeight="1">
      <c r="B428" s="227"/>
      <c r="C428" s="290"/>
      <c r="D428" s="290"/>
      <c r="E428" s="290"/>
      <c r="F428" s="290"/>
      <c r="G428" s="290"/>
      <c r="H428" s="290"/>
      <c r="I428" s="290"/>
      <c r="J428" s="290"/>
      <c r="K428" s="290"/>
      <c r="L428" s="290"/>
      <c r="M428" s="290"/>
      <c r="N428" s="290"/>
      <c r="O428" s="290"/>
    </row>
    <row r="429" ht="14.25" customHeight="1">
      <c r="B429" s="227"/>
      <c r="C429" s="290"/>
      <c r="D429" s="290"/>
      <c r="E429" s="290"/>
      <c r="F429" s="290"/>
      <c r="G429" s="290"/>
      <c r="H429" s="290"/>
      <c r="I429" s="290"/>
      <c r="J429" s="290"/>
      <c r="K429" s="290"/>
      <c r="L429" s="290"/>
      <c r="M429" s="290"/>
      <c r="N429" s="290"/>
      <c r="O429" s="290"/>
    </row>
    <row r="430" ht="14.25" customHeight="1">
      <c r="B430" s="227"/>
      <c r="C430" s="290"/>
      <c r="D430" s="290"/>
      <c r="E430" s="290"/>
      <c r="F430" s="290"/>
      <c r="G430" s="290"/>
      <c r="H430" s="290"/>
      <c r="I430" s="290"/>
      <c r="J430" s="290"/>
      <c r="K430" s="290"/>
      <c r="L430" s="290"/>
      <c r="M430" s="290"/>
      <c r="N430" s="290"/>
      <c r="O430" s="290"/>
    </row>
    <row r="431" ht="14.25" customHeight="1">
      <c r="B431" s="227"/>
      <c r="C431" s="290"/>
      <c r="D431" s="290"/>
      <c r="E431" s="290"/>
      <c r="F431" s="290"/>
      <c r="G431" s="290"/>
      <c r="H431" s="290"/>
      <c r="I431" s="290"/>
      <c r="J431" s="290"/>
      <c r="K431" s="290"/>
      <c r="L431" s="290"/>
      <c r="M431" s="290"/>
      <c r="N431" s="290"/>
      <c r="O431" s="290"/>
    </row>
    <row r="432" ht="14.25" customHeight="1">
      <c r="B432" s="227"/>
      <c r="C432" s="290"/>
      <c r="D432" s="290"/>
      <c r="E432" s="290"/>
      <c r="F432" s="290"/>
      <c r="G432" s="290"/>
      <c r="H432" s="290"/>
      <c r="I432" s="290"/>
      <c r="J432" s="290"/>
      <c r="K432" s="290"/>
      <c r="L432" s="290"/>
      <c r="M432" s="290"/>
      <c r="N432" s="290"/>
      <c r="O432" s="290"/>
    </row>
    <row r="433" ht="14.25" customHeight="1">
      <c r="B433" s="227"/>
      <c r="C433" s="290"/>
      <c r="D433" s="290"/>
      <c r="E433" s="290"/>
      <c r="F433" s="290"/>
      <c r="G433" s="290"/>
      <c r="H433" s="290"/>
      <c r="I433" s="290"/>
      <c r="J433" s="290"/>
      <c r="K433" s="290"/>
      <c r="L433" s="290"/>
      <c r="M433" s="290"/>
      <c r="N433" s="290"/>
      <c r="O433" s="290"/>
    </row>
    <row r="434" ht="14.25" customHeight="1">
      <c r="B434" s="227"/>
      <c r="C434" s="290"/>
      <c r="D434" s="290"/>
      <c r="E434" s="290"/>
      <c r="F434" s="290"/>
      <c r="G434" s="290"/>
      <c r="H434" s="290"/>
      <c r="I434" s="290"/>
      <c r="J434" s="290"/>
      <c r="K434" s="290"/>
      <c r="L434" s="290"/>
      <c r="M434" s="290"/>
      <c r="N434" s="290"/>
      <c r="O434" s="290"/>
    </row>
    <row r="435" ht="14.25" customHeight="1">
      <c r="B435" s="227"/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</row>
    <row r="436" ht="14.25" customHeight="1">
      <c r="B436" s="227"/>
      <c r="C436" s="290"/>
      <c r="D436" s="290"/>
      <c r="E436" s="290"/>
      <c r="F436" s="290"/>
      <c r="G436" s="290"/>
      <c r="H436" s="290"/>
      <c r="I436" s="290"/>
      <c r="J436" s="290"/>
      <c r="K436" s="290"/>
      <c r="L436" s="290"/>
      <c r="M436" s="290"/>
      <c r="N436" s="290"/>
      <c r="O436" s="290"/>
    </row>
    <row r="437" ht="14.25" customHeight="1">
      <c r="B437" s="227"/>
      <c r="C437" s="290"/>
      <c r="D437" s="290"/>
      <c r="E437" s="290"/>
      <c r="F437" s="290"/>
      <c r="G437" s="290"/>
      <c r="H437" s="290"/>
      <c r="I437" s="290"/>
      <c r="J437" s="290"/>
      <c r="K437" s="290"/>
      <c r="L437" s="290"/>
      <c r="M437" s="290"/>
      <c r="N437" s="290"/>
      <c r="O437" s="290"/>
    </row>
    <row r="438" ht="14.25" customHeight="1">
      <c r="B438" s="227"/>
      <c r="C438" s="290"/>
      <c r="D438" s="290"/>
      <c r="E438" s="290"/>
      <c r="F438" s="290"/>
      <c r="G438" s="290"/>
      <c r="H438" s="290"/>
      <c r="I438" s="290"/>
      <c r="J438" s="290"/>
      <c r="K438" s="290"/>
      <c r="L438" s="290"/>
      <c r="M438" s="290"/>
      <c r="N438" s="290"/>
      <c r="O438" s="290"/>
    </row>
    <row r="439" ht="14.25" customHeight="1">
      <c r="B439" s="227"/>
      <c r="C439" s="290"/>
      <c r="D439" s="290"/>
      <c r="E439" s="290"/>
      <c r="F439" s="290"/>
      <c r="G439" s="290"/>
      <c r="H439" s="290"/>
      <c r="I439" s="290"/>
      <c r="J439" s="290"/>
      <c r="K439" s="290"/>
      <c r="L439" s="290"/>
      <c r="M439" s="290"/>
      <c r="N439" s="290"/>
      <c r="O439" s="290"/>
    </row>
    <row r="440" ht="14.25" customHeight="1">
      <c r="B440" s="227"/>
      <c r="C440" s="290"/>
      <c r="D440" s="290"/>
      <c r="E440" s="290"/>
      <c r="F440" s="290"/>
      <c r="G440" s="290"/>
      <c r="H440" s="290"/>
      <c r="I440" s="290"/>
      <c r="J440" s="290"/>
      <c r="K440" s="290"/>
      <c r="L440" s="290"/>
      <c r="M440" s="290"/>
      <c r="N440" s="290"/>
      <c r="O440" s="290"/>
    </row>
    <row r="441" ht="14.25" customHeight="1">
      <c r="B441" s="227"/>
      <c r="C441" s="290"/>
      <c r="D441" s="290"/>
      <c r="E441" s="290"/>
      <c r="F441" s="290"/>
      <c r="G441" s="290"/>
      <c r="H441" s="290"/>
      <c r="I441" s="290"/>
      <c r="J441" s="290"/>
      <c r="K441" s="290"/>
      <c r="L441" s="290"/>
      <c r="M441" s="290"/>
      <c r="N441" s="290"/>
      <c r="O441" s="290"/>
    </row>
    <row r="442" ht="14.25" customHeight="1">
      <c r="B442" s="227"/>
      <c r="C442" s="290"/>
      <c r="D442" s="290"/>
      <c r="E442" s="290"/>
      <c r="F442" s="290"/>
      <c r="G442" s="290"/>
      <c r="H442" s="290"/>
      <c r="I442" s="290"/>
      <c r="J442" s="290"/>
      <c r="K442" s="290"/>
      <c r="L442" s="290"/>
      <c r="M442" s="290"/>
      <c r="N442" s="290"/>
      <c r="O442" s="290"/>
    </row>
    <row r="443" ht="14.25" customHeight="1">
      <c r="B443" s="227"/>
      <c r="C443" s="290"/>
      <c r="D443" s="290"/>
      <c r="E443" s="290"/>
      <c r="F443" s="290"/>
      <c r="G443" s="290"/>
      <c r="H443" s="290"/>
      <c r="I443" s="290"/>
      <c r="J443" s="290"/>
      <c r="K443" s="290"/>
      <c r="L443" s="290"/>
      <c r="M443" s="290"/>
      <c r="N443" s="290"/>
      <c r="O443" s="290"/>
    </row>
    <row r="444" ht="14.25" customHeight="1">
      <c r="B444" s="227"/>
      <c r="C444" s="290"/>
      <c r="D444" s="290"/>
      <c r="E444" s="290"/>
      <c r="F444" s="290"/>
      <c r="G444" s="290"/>
      <c r="H444" s="290"/>
      <c r="I444" s="290"/>
      <c r="J444" s="290"/>
      <c r="K444" s="290"/>
      <c r="L444" s="290"/>
      <c r="M444" s="290"/>
      <c r="N444" s="290"/>
      <c r="O444" s="290"/>
    </row>
    <row r="445" ht="14.25" customHeight="1">
      <c r="B445" s="227"/>
      <c r="C445" s="290"/>
      <c r="D445" s="290"/>
      <c r="E445" s="290"/>
      <c r="F445" s="290"/>
      <c r="G445" s="290"/>
      <c r="H445" s="290"/>
      <c r="I445" s="290"/>
      <c r="J445" s="290"/>
      <c r="K445" s="290"/>
      <c r="L445" s="290"/>
      <c r="M445" s="290"/>
      <c r="N445" s="290"/>
      <c r="O445" s="290"/>
    </row>
    <row r="446" ht="14.25" customHeight="1">
      <c r="B446" s="227"/>
      <c r="C446" s="290"/>
      <c r="D446" s="290"/>
      <c r="E446" s="290"/>
      <c r="F446" s="290"/>
      <c r="G446" s="290"/>
      <c r="H446" s="290"/>
      <c r="I446" s="290"/>
      <c r="J446" s="290"/>
      <c r="K446" s="290"/>
      <c r="L446" s="290"/>
      <c r="M446" s="290"/>
      <c r="N446" s="290"/>
      <c r="O446" s="290"/>
    </row>
    <row r="447" ht="14.25" customHeight="1">
      <c r="B447" s="227"/>
      <c r="C447" s="290"/>
      <c r="D447" s="290"/>
      <c r="E447" s="290"/>
      <c r="F447" s="290"/>
      <c r="G447" s="290"/>
      <c r="H447" s="290"/>
      <c r="I447" s="290"/>
      <c r="J447" s="290"/>
      <c r="K447" s="290"/>
      <c r="L447" s="290"/>
      <c r="M447" s="290"/>
      <c r="N447" s="290"/>
      <c r="O447" s="290"/>
    </row>
    <row r="448" ht="14.25" customHeight="1">
      <c r="B448" s="227"/>
      <c r="C448" s="290"/>
      <c r="D448" s="290"/>
      <c r="E448" s="290"/>
      <c r="F448" s="290"/>
      <c r="G448" s="290"/>
      <c r="H448" s="290"/>
      <c r="I448" s="290"/>
      <c r="J448" s="290"/>
      <c r="K448" s="290"/>
      <c r="L448" s="290"/>
      <c r="M448" s="290"/>
      <c r="N448" s="290"/>
      <c r="O448" s="290"/>
    </row>
    <row r="449" ht="14.25" customHeight="1">
      <c r="B449" s="227"/>
      <c r="C449" s="290"/>
      <c r="D449" s="290"/>
      <c r="E449" s="290"/>
      <c r="F449" s="290"/>
      <c r="G449" s="290"/>
      <c r="H449" s="290"/>
      <c r="I449" s="290"/>
      <c r="J449" s="290"/>
      <c r="K449" s="290"/>
      <c r="L449" s="290"/>
      <c r="M449" s="290"/>
      <c r="N449" s="290"/>
      <c r="O449" s="290"/>
    </row>
    <row r="450" ht="14.25" customHeight="1">
      <c r="B450" s="227"/>
      <c r="C450" s="290"/>
      <c r="D450" s="290"/>
      <c r="E450" s="290"/>
      <c r="F450" s="290"/>
      <c r="G450" s="290"/>
      <c r="H450" s="290"/>
      <c r="I450" s="290"/>
      <c r="J450" s="290"/>
      <c r="K450" s="290"/>
      <c r="L450" s="290"/>
      <c r="M450" s="290"/>
      <c r="N450" s="290"/>
      <c r="O450" s="290"/>
    </row>
    <row r="451" ht="14.25" customHeight="1">
      <c r="B451" s="227"/>
      <c r="C451" s="290"/>
      <c r="D451" s="290"/>
      <c r="E451" s="290"/>
      <c r="F451" s="290"/>
      <c r="G451" s="290"/>
      <c r="H451" s="290"/>
      <c r="I451" s="290"/>
      <c r="J451" s="290"/>
      <c r="K451" s="290"/>
      <c r="L451" s="290"/>
      <c r="M451" s="290"/>
      <c r="N451" s="290"/>
      <c r="O451" s="290"/>
    </row>
    <row r="452" ht="14.25" customHeight="1">
      <c r="B452" s="227"/>
      <c r="C452" s="290"/>
      <c r="D452" s="290"/>
      <c r="E452" s="290"/>
      <c r="F452" s="290"/>
      <c r="G452" s="290"/>
      <c r="H452" s="290"/>
      <c r="I452" s="290"/>
      <c r="J452" s="290"/>
      <c r="K452" s="290"/>
      <c r="L452" s="290"/>
      <c r="M452" s="290"/>
      <c r="N452" s="290"/>
      <c r="O452" s="290"/>
    </row>
    <row r="453" ht="14.25" customHeight="1">
      <c r="B453" s="227"/>
      <c r="C453" s="290"/>
      <c r="D453" s="290"/>
      <c r="E453" s="290"/>
      <c r="F453" s="290"/>
      <c r="G453" s="290"/>
      <c r="H453" s="290"/>
      <c r="I453" s="290"/>
      <c r="J453" s="290"/>
      <c r="K453" s="290"/>
      <c r="L453" s="290"/>
      <c r="M453" s="290"/>
      <c r="N453" s="290"/>
      <c r="O453" s="290"/>
    </row>
    <row r="454" ht="14.25" customHeight="1">
      <c r="B454" s="227"/>
      <c r="C454" s="290"/>
      <c r="D454" s="290"/>
      <c r="E454" s="290"/>
      <c r="F454" s="290"/>
      <c r="G454" s="290"/>
      <c r="H454" s="290"/>
      <c r="I454" s="290"/>
      <c r="J454" s="290"/>
      <c r="K454" s="290"/>
      <c r="L454" s="290"/>
      <c r="M454" s="290"/>
      <c r="N454" s="290"/>
      <c r="O454" s="290"/>
    </row>
    <row r="455" ht="14.25" customHeight="1">
      <c r="B455" s="227"/>
      <c r="C455" s="290"/>
      <c r="D455" s="290"/>
      <c r="E455" s="290"/>
      <c r="F455" s="290"/>
      <c r="G455" s="290"/>
      <c r="H455" s="290"/>
      <c r="I455" s="290"/>
      <c r="J455" s="290"/>
      <c r="K455" s="290"/>
      <c r="L455" s="290"/>
      <c r="M455" s="290"/>
      <c r="N455" s="290"/>
      <c r="O455" s="290"/>
    </row>
    <row r="456" ht="14.25" customHeight="1">
      <c r="B456" s="227"/>
      <c r="C456" s="290"/>
      <c r="D456" s="290"/>
      <c r="E456" s="290"/>
      <c r="F456" s="290"/>
      <c r="G456" s="290"/>
      <c r="H456" s="290"/>
      <c r="I456" s="290"/>
      <c r="J456" s="290"/>
      <c r="K456" s="290"/>
      <c r="L456" s="290"/>
      <c r="M456" s="290"/>
      <c r="N456" s="290"/>
      <c r="O456" s="290"/>
    </row>
    <row r="457" ht="14.25" customHeight="1">
      <c r="B457" s="227"/>
      <c r="C457" s="290"/>
      <c r="D457" s="290"/>
      <c r="E457" s="290"/>
      <c r="F457" s="290"/>
      <c r="G457" s="290"/>
      <c r="H457" s="290"/>
      <c r="I457" s="290"/>
      <c r="J457" s="290"/>
      <c r="K457" s="290"/>
      <c r="L457" s="290"/>
      <c r="M457" s="290"/>
      <c r="N457" s="290"/>
      <c r="O457" s="290"/>
    </row>
    <row r="458" ht="14.25" customHeight="1">
      <c r="B458" s="227"/>
      <c r="C458" s="290"/>
      <c r="D458" s="290"/>
      <c r="E458" s="290"/>
      <c r="F458" s="290"/>
      <c r="G458" s="290"/>
      <c r="H458" s="290"/>
      <c r="I458" s="290"/>
      <c r="J458" s="290"/>
      <c r="K458" s="290"/>
      <c r="L458" s="290"/>
      <c r="M458" s="290"/>
      <c r="N458" s="290"/>
      <c r="O458" s="290"/>
    </row>
    <row r="459" ht="14.25" customHeight="1">
      <c r="B459" s="227"/>
      <c r="C459" s="290"/>
      <c r="D459" s="290"/>
      <c r="E459" s="290"/>
      <c r="F459" s="290"/>
      <c r="G459" s="290"/>
      <c r="H459" s="290"/>
      <c r="I459" s="290"/>
      <c r="J459" s="290"/>
      <c r="K459" s="290"/>
      <c r="L459" s="290"/>
      <c r="M459" s="290"/>
      <c r="N459" s="290"/>
      <c r="O459" s="290"/>
    </row>
    <row r="460" ht="14.25" customHeight="1">
      <c r="B460" s="227"/>
      <c r="C460" s="290"/>
      <c r="D460" s="290"/>
      <c r="E460" s="290"/>
      <c r="F460" s="290"/>
      <c r="G460" s="290"/>
      <c r="H460" s="290"/>
      <c r="I460" s="290"/>
      <c r="J460" s="290"/>
      <c r="K460" s="290"/>
      <c r="L460" s="290"/>
      <c r="M460" s="290"/>
      <c r="N460" s="290"/>
      <c r="O460" s="290"/>
    </row>
    <row r="461" ht="14.25" customHeight="1">
      <c r="B461" s="227"/>
      <c r="C461" s="290"/>
      <c r="D461" s="290"/>
      <c r="E461" s="290"/>
      <c r="F461" s="290"/>
      <c r="G461" s="290"/>
      <c r="H461" s="290"/>
      <c r="I461" s="290"/>
      <c r="J461" s="290"/>
      <c r="K461" s="290"/>
      <c r="L461" s="290"/>
      <c r="M461" s="290"/>
      <c r="N461" s="290"/>
      <c r="O461" s="290"/>
    </row>
    <row r="462" ht="14.25" customHeight="1">
      <c r="B462" s="227"/>
      <c r="C462" s="290"/>
      <c r="D462" s="290"/>
      <c r="E462" s="290"/>
      <c r="F462" s="290"/>
      <c r="G462" s="290"/>
      <c r="H462" s="290"/>
      <c r="I462" s="290"/>
      <c r="J462" s="290"/>
      <c r="K462" s="290"/>
      <c r="L462" s="290"/>
      <c r="M462" s="290"/>
      <c r="N462" s="290"/>
      <c r="O462" s="290"/>
    </row>
    <row r="463" ht="14.25" customHeight="1">
      <c r="B463" s="227"/>
      <c r="C463" s="290"/>
      <c r="D463" s="290"/>
      <c r="E463" s="290"/>
      <c r="F463" s="290"/>
      <c r="G463" s="290"/>
      <c r="H463" s="290"/>
      <c r="I463" s="290"/>
      <c r="J463" s="290"/>
      <c r="K463" s="290"/>
      <c r="L463" s="290"/>
      <c r="M463" s="290"/>
      <c r="N463" s="290"/>
      <c r="O463" s="290"/>
    </row>
    <row r="464" ht="14.25" customHeight="1">
      <c r="B464" s="227"/>
      <c r="C464" s="290"/>
      <c r="D464" s="290"/>
      <c r="E464" s="290"/>
      <c r="F464" s="290"/>
      <c r="G464" s="290"/>
      <c r="H464" s="290"/>
      <c r="I464" s="290"/>
      <c r="J464" s="290"/>
      <c r="K464" s="290"/>
      <c r="L464" s="290"/>
      <c r="M464" s="290"/>
      <c r="N464" s="290"/>
      <c r="O464" s="290"/>
    </row>
    <row r="465" ht="14.25" customHeight="1">
      <c r="B465" s="227"/>
      <c r="C465" s="290"/>
      <c r="D465" s="290"/>
      <c r="E465" s="290"/>
      <c r="F465" s="290"/>
      <c r="G465" s="290"/>
      <c r="H465" s="290"/>
      <c r="I465" s="290"/>
      <c r="J465" s="290"/>
      <c r="K465" s="290"/>
      <c r="L465" s="290"/>
      <c r="M465" s="290"/>
      <c r="N465" s="290"/>
      <c r="O465" s="290"/>
    </row>
    <row r="466" ht="14.25" customHeight="1">
      <c r="B466" s="227"/>
      <c r="C466" s="290"/>
      <c r="D466" s="290"/>
      <c r="E466" s="290"/>
      <c r="F466" s="290"/>
      <c r="G466" s="290"/>
      <c r="H466" s="290"/>
      <c r="I466" s="290"/>
      <c r="J466" s="290"/>
      <c r="K466" s="290"/>
      <c r="L466" s="290"/>
      <c r="M466" s="290"/>
      <c r="N466" s="290"/>
      <c r="O466" s="290"/>
    </row>
    <row r="467" ht="14.25" customHeight="1">
      <c r="B467" s="227"/>
      <c r="C467" s="290"/>
      <c r="D467" s="290"/>
      <c r="E467" s="290"/>
      <c r="F467" s="290"/>
      <c r="G467" s="290"/>
      <c r="H467" s="290"/>
      <c r="I467" s="290"/>
      <c r="J467" s="290"/>
      <c r="K467" s="290"/>
      <c r="L467" s="290"/>
      <c r="M467" s="290"/>
      <c r="N467" s="290"/>
      <c r="O467" s="290"/>
    </row>
    <row r="468" ht="14.25" customHeight="1">
      <c r="B468" s="227"/>
      <c r="C468" s="290"/>
      <c r="D468" s="290"/>
      <c r="E468" s="290"/>
      <c r="F468" s="290"/>
      <c r="G468" s="290"/>
      <c r="H468" s="290"/>
      <c r="I468" s="290"/>
      <c r="J468" s="290"/>
      <c r="K468" s="290"/>
      <c r="L468" s="290"/>
      <c r="M468" s="290"/>
      <c r="N468" s="290"/>
      <c r="O468" s="290"/>
    </row>
    <row r="469" ht="14.25" customHeight="1">
      <c r="B469" s="227"/>
      <c r="C469" s="290"/>
      <c r="D469" s="290"/>
      <c r="E469" s="290"/>
      <c r="F469" s="290"/>
      <c r="G469" s="290"/>
      <c r="H469" s="290"/>
      <c r="I469" s="290"/>
      <c r="J469" s="290"/>
      <c r="K469" s="290"/>
      <c r="L469" s="290"/>
      <c r="M469" s="290"/>
      <c r="N469" s="290"/>
      <c r="O469" s="290"/>
    </row>
    <row r="470" ht="14.25" customHeight="1">
      <c r="B470" s="227"/>
      <c r="C470" s="290"/>
      <c r="D470" s="290"/>
      <c r="E470" s="290"/>
      <c r="F470" s="290"/>
      <c r="G470" s="290"/>
      <c r="H470" s="290"/>
      <c r="I470" s="290"/>
      <c r="J470" s="290"/>
      <c r="K470" s="290"/>
      <c r="L470" s="290"/>
      <c r="M470" s="290"/>
      <c r="N470" s="290"/>
      <c r="O470" s="290"/>
    </row>
    <row r="471" ht="14.25" customHeight="1">
      <c r="B471" s="227"/>
      <c r="C471" s="290"/>
      <c r="D471" s="290"/>
      <c r="E471" s="290"/>
      <c r="F471" s="290"/>
      <c r="G471" s="290"/>
      <c r="H471" s="290"/>
      <c r="I471" s="290"/>
      <c r="J471" s="290"/>
      <c r="K471" s="290"/>
      <c r="L471" s="290"/>
      <c r="M471" s="290"/>
      <c r="N471" s="290"/>
      <c r="O471" s="290"/>
    </row>
    <row r="472" ht="14.25" customHeight="1">
      <c r="B472" s="227"/>
      <c r="C472" s="290"/>
      <c r="D472" s="290"/>
      <c r="E472" s="290"/>
      <c r="F472" s="290"/>
      <c r="G472" s="290"/>
      <c r="H472" s="290"/>
      <c r="I472" s="290"/>
      <c r="J472" s="290"/>
      <c r="K472" s="290"/>
      <c r="L472" s="290"/>
      <c r="M472" s="290"/>
      <c r="N472" s="290"/>
      <c r="O472" s="290"/>
    </row>
    <row r="473" ht="14.25" customHeight="1">
      <c r="B473" s="227"/>
      <c r="C473" s="290"/>
      <c r="D473" s="290"/>
      <c r="E473" s="290"/>
      <c r="F473" s="290"/>
      <c r="G473" s="290"/>
      <c r="H473" s="290"/>
      <c r="I473" s="290"/>
      <c r="J473" s="290"/>
      <c r="K473" s="290"/>
      <c r="L473" s="290"/>
      <c r="M473" s="290"/>
      <c r="N473" s="290"/>
      <c r="O473" s="290"/>
    </row>
    <row r="474" ht="14.25" customHeight="1">
      <c r="B474" s="227"/>
      <c r="C474" s="290"/>
      <c r="D474" s="290"/>
      <c r="E474" s="290"/>
      <c r="F474" s="290"/>
      <c r="G474" s="290"/>
      <c r="H474" s="290"/>
      <c r="I474" s="290"/>
      <c r="J474" s="290"/>
      <c r="K474" s="290"/>
      <c r="L474" s="290"/>
      <c r="M474" s="290"/>
      <c r="N474" s="290"/>
      <c r="O474" s="290"/>
    </row>
    <row r="475" ht="14.25" customHeight="1">
      <c r="B475" s="227"/>
      <c r="C475" s="290"/>
      <c r="D475" s="290"/>
      <c r="E475" s="290"/>
      <c r="F475" s="290"/>
      <c r="G475" s="290"/>
      <c r="H475" s="290"/>
      <c r="I475" s="290"/>
      <c r="J475" s="290"/>
      <c r="K475" s="290"/>
      <c r="L475" s="290"/>
      <c r="M475" s="290"/>
      <c r="N475" s="290"/>
      <c r="O475" s="290"/>
    </row>
    <row r="476" ht="14.25" customHeight="1">
      <c r="B476" s="227"/>
      <c r="C476" s="290"/>
      <c r="D476" s="290"/>
      <c r="E476" s="290"/>
      <c r="F476" s="290"/>
      <c r="G476" s="290"/>
      <c r="H476" s="290"/>
      <c r="I476" s="290"/>
      <c r="J476" s="290"/>
      <c r="K476" s="290"/>
      <c r="L476" s="290"/>
      <c r="M476" s="290"/>
      <c r="N476" s="290"/>
      <c r="O476" s="290"/>
    </row>
    <row r="477" ht="14.25" customHeight="1">
      <c r="B477" s="227"/>
      <c r="C477" s="290"/>
      <c r="D477" s="290"/>
      <c r="E477" s="290"/>
      <c r="F477" s="290"/>
      <c r="G477" s="290"/>
      <c r="H477" s="290"/>
      <c r="I477" s="290"/>
      <c r="J477" s="290"/>
      <c r="K477" s="290"/>
      <c r="L477" s="290"/>
      <c r="M477" s="290"/>
      <c r="N477" s="290"/>
      <c r="O477" s="290"/>
    </row>
    <row r="478" ht="14.25" customHeight="1">
      <c r="B478" s="227"/>
      <c r="C478" s="290"/>
      <c r="D478" s="290"/>
      <c r="E478" s="290"/>
      <c r="F478" s="290"/>
      <c r="G478" s="290"/>
      <c r="H478" s="290"/>
      <c r="I478" s="290"/>
      <c r="J478" s="290"/>
      <c r="K478" s="290"/>
      <c r="L478" s="290"/>
      <c r="M478" s="290"/>
      <c r="N478" s="290"/>
      <c r="O478" s="290"/>
    </row>
    <row r="479" ht="14.25" customHeight="1">
      <c r="B479" s="227"/>
      <c r="C479" s="290"/>
      <c r="D479" s="290"/>
      <c r="E479" s="290"/>
      <c r="F479" s="290"/>
      <c r="G479" s="290"/>
      <c r="H479" s="290"/>
      <c r="I479" s="290"/>
      <c r="J479" s="290"/>
      <c r="K479" s="290"/>
      <c r="L479" s="290"/>
      <c r="M479" s="290"/>
      <c r="N479" s="290"/>
      <c r="O479" s="290"/>
    </row>
    <row r="480" ht="14.25" customHeight="1">
      <c r="B480" s="227"/>
      <c r="C480" s="290"/>
      <c r="D480" s="290"/>
      <c r="E480" s="290"/>
      <c r="F480" s="290"/>
      <c r="G480" s="290"/>
      <c r="H480" s="290"/>
      <c r="I480" s="290"/>
      <c r="J480" s="290"/>
      <c r="K480" s="290"/>
      <c r="L480" s="290"/>
      <c r="M480" s="290"/>
      <c r="N480" s="290"/>
      <c r="O480" s="290"/>
    </row>
    <row r="481" ht="14.25" customHeight="1">
      <c r="B481" s="227"/>
      <c r="C481" s="290"/>
      <c r="D481" s="290"/>
      <c r="E481" s="290"/>
      <c r="F481" s="290"/>
      <c r="G481" s="290"/>
      <c r="H481" s="290"/>
      <c r="I481" s="290"/>
      <c r="J481" s="290"/>
      <c r="K481" s="290"/>
      <c r="L481" s="290"/>
      <c r="M481" s="290"/>
      <c r="N481" s="290"/>
      <c r="O481" s="290"/>
    </row>
    <row r="482" ht="14.25" customHeight="1">
      <c r="B482" s="227"/>
      <c r="C482" s="290"/>
      <c r="D482" s="290"/>
      <c r="E482" s="290"/>
      <c r="F482" s="290"/>
      <c r="G482" s="290"/>
      <c r="H482" s="290"/>
      <c r="I482" s="290"/>
      <c r="J482" s="290"/>
      <c r="K482" s="290"/>
      <c r="L482" s="290"/>
      <c r="M482" s="290"/>
      <c r="N482" s="290"/>
      <c r="O482" s="290"/>
    </row>
    <row r="483" ht="14.25" customHeight="1">
      <c r="B483" s="227"/>
      <c r="C483" s="290"/>
      <c r="D483" s="290"/>
      <c r="E483" s="290"/>
      <c r="F483" s="290"/>
      <c r="G483" s="290"/>
      <c r="H483" s="290"/>
      <c r="I483" s="290"/>
      <c r="J483" s="290"/>
      <c r="K483" s="290"/>
      <c r="L483" s="290"/>
      <c r="M483" s="290"/>
      <c r="N483" s="290"/>
      <c r="O483" s="290"/>
    </row>
    <row r="484" ht="14.25" customHeight="1">
      <c r="B484" s="227"/>
      <c r="C484" s="290"/>
      <c r="D484" s="290"/>
      <c r="E484" s="290"/>
      <c r="F484" s="290"/>
      <c r="G484" s="290"/>
      <c r="H484" s="290"/>
      <c r="I484" s="290"/>
      <c r="J484" s="290"/>
      <c r="K484" s="290"/>
      <c r="L484" s="290"/>
      <c r="M484" s="290"/>
      <c r="N484" s="290"/>
      <c r="O484" s="290"/>
    </row>
    <row r="485" ht="14.25" customHeight="1">
      <c r="B485" s="227"/>
      <c r="C485" s="290"/>
      <c r="D485" s="290"/>
      <c r="E485" s="290"/>
      <c r="F485" s="290"/>
      <c r="G485" s="290"/>
      <c r="H485" s="290"/>
      <c r="I485" s="290"/>
      <c r="J485" s="290"/>
      <c r="K485" s="290"/>
      <c r="L485" s="290"/>
      <c r="M485" s="290"/>
      <c r="N485" s="290"/>
      <c r="O485" s="290"/>
    </row>
    <row r="486" ht="14.25" customHeight="1">
      <c r="B486" s="227"/>
      <c r="C486" s="290"/>
      <c r="D486" s="290"/>
      <c r="E486" s="290"/>
      <c r="F486" s="290"/>
      <c r="G486" s="290"/>
      <c r="H486" s="290"/>
      <c r="I486" s="290"/>
      <c r="J486" s="290"/>
      <c r="K486" s="290"/>
      <c r="L486" s="290"/>
      <c r="M486" s="290"/>
      <c r="N486" s="290"/>
      <c r="O486" s="290"/>
    </row>
    <row r="487" ht="14.25" customHeight="1">
      <c r="B487" s="227"/>
      <c r="C487" s="290"/>
      <c r="D487" s="290"/>
      <c r="E487" s="290"/>
      <c r="F487" s="290"/>
      <c r="G487" s="290"/>
      <c r="H487" s="290"/>
      <c r="I487" s="290"/>
      <c r="J487" s="290"/>
      <c r="K487" s="290"/>
      <c r="L487" s="290"/>
      <c r="M487" s="290"/>
      <c r="N487" s="290"/>
      <c r="O487" s="290"/>
    </row>
    <row r="488" ht="14.25" customHeight="1">
      <c r="B488" s="227"/>
      <c r="C488" s="290"/>
      <c r="D488" s="290"/>
      <c r="E488" s="290"/>
      <c r="F488" s="290"/>
      <c r="G488" s="290"/>
      <c r="H488" s="290"/>
      <c r="I488" s="290"/>
      <c r="J488" s="290"/>
      <c r="K488" s="290"/>
      <c r="L488" s="290"/>
      <c r="M488" s="290"/>
      <c r="N488" s="290"/>
      <c r="O488" s="290"/>
    </row>
    <row r="489" ht="14.25" customHeight="1">
      <c r="B489" s="227"/>
      <c r="C489" s="290"/>
      <c r="D489" s="290"/>
      <c r="E489" s="290"/>
      <c r="F489" s="290"/>
      <c r="G489" s="290"/>
      <c r="H489" s="290"/>
      <c r="I489" s="290"/>
      <c r="J489" s="290"/>
      <c r="K489" s="290"/>
      <c r="L489" s="290"/>
      <c r="M489" s="290"/>
      <c r="N489" s="290"/>
      <c r="O489" s="290"/>
    </row>
    <row r="490" ht="14.25" customHeight="1">
      <c r="B490" s="227"/>
      <c r="C490" s="290"/>
      <c r="D490" s="290"/>
      <c r="E490" s="290"/>
      <c r="F490" s="290"/>
      <c r="G490" s="290"/>
      <c r="H490" s="290"/>
      <c r="I490" s="290"/>
      <c r="J490" s="290"/>
      <c r="K490" s="290"/>
      <c r="L490" s="290"/>
      <c r="M490" s="290"/>
      <c r="N490" s="290"/>
      <c r="O490" s="290"/>
    </row>
    <row r="491" ht="14.25" customHeight="1">
      <c r="B491" s="227"/>
      <c r="C491" s="290"/>
      <c r="D491" s="290"/>
      <c r="E491" s="290"/>
      <c r="F491" s="290"/>
      <c r="G491" s="290"/>
      <c r="H491" s="290"/>
      <c r="I491" s="290"/>
      <c r="J491" s="290"/>
      <c r="K491" s="290"/>
      <c r="L491" s="290"/>
      <c r="M491" s="290"/>
      <c r="N491" s="290"/>
      <c r="O491" s="290"/>
    </row>
    <row r="492" ht="14.25" customHeight="1">
      <c r="B492" s="227"/>
      <c r="C492" s="290"/>
      <c r="D492" s="290"/>
      <c r="E492" s="290"/>
      <c r="F492" s="290"/>
      <c r="G492" s="290"/>
      <c r="H492" s="290"/>
      <c r="I492" s="290"/>
      <c r="J492" s="290"/>
      <c r="K492" s="290"/>
      <c r="L492" s="290"/>
      <c r="M492" s="290"/>
      <c r="N492" s="290"/>
      <c r="O492" s="290"/>
    </row>
    <row r="493" ht="14.25" customHeight="1">
      <c r="B493" s="227"/>
      <c r="C493" s="290"/>
      <c r="D493" s="290"/>
      <c r="E493" s="290"/>
      <c r="F493" s="290"/>
      <c r="G493" s="290"/>
      <c r="H493" s="290"/>
      <c r="I493" s="290"/>
      <c r="J493" s="290"/>
      <c r="K493" s="290"/>
      <c r="L493" s="290"/>
      <c r="M493" s="290"/>
      <c r="N493" s="290"/>
      <c r="O493" s="290"/>
    </row>
    <row r="494" ht="14.25" customHeight="1">
      <c r="B494" s="227"/>
      <c r="C494" s="290"/>
      <c r="D494" s="290"/>
      <c r="E494" s="290"/>
      <c r="F494" s="290"/>
      <c r="G494" s="290"/>
      <c r="H494" s="290"/>
      <c r="I494" s="290"/>
      <c r="J494" s="290"/>
      <c r="K494" s="290"/>
      <c r="L494" s="290"/>
      <c r="M494" s="290"/>
      <c r="N494" s="290"/>
      <c r="O494" s="290"/>
    </row>
    <row r="495" ht="14.25" customHeight="1">
      <c r="B495" s="227"/>
      <c r="C495" s="290"/>
      <c r="D495" s="290"/>
      <c r="E495" s="290"/>
      <c r="F495" s="290"/>
      <c r="G495" s="290"/>
      <c r="H495" s="290"/>
      <c r="I495" s="290"/>
      <c r="J495" s="290"/>
      <c r="K495" s="290"/>
      <c r="L495" s="290"/>
      <c r="M495" s="290"/>
      <c r="N495" s="290"/>
      <c r="O495" s="290"/>
    </row>
    <row r="496" ht="14.25" customHeight="1">
      <c r="B496" s="227"/>
      <c r="C496" s="290"/>
      <c r="D496" s="290"/>
      <c r="E496" s="290"/>
      <c r="F496" s="290"/>
      <c r="G496" s="290"/>
      <c r="H496" s="290"/>
      <c r="I496" s="290"/>
      <c r="J496" s="290"/>
      <c r="K496" s="290"/>
      <c r="L496" s="290"/>
      <c r="M496" s="290"/>
      <c r="N496" s="290"/>
      <c r="O496" s="290"/>
    </row>
    <row r="497" ht="14.25" customHeight="1">
      <c r="B497" s="227"/>
      <c r="C497" s="290"/>
      <c r="D497" s="290"/>
      <c r="E497" s="290"/>
      <c r="F497" s="290"/>
      <c r="G497" s="290"/>
      <c r="H497" s="290"/>
      <c r="I497" s="290"/>
      <c r="J497" s="290"/>
      <c r="K497" s="290"/>
      <c r="L497" s="290"/>
      <c r="M497" s="290"/>
      <c r="N497" s="290"/>
      <c r="O497" s="290"/>
    </row>
    <row r="498" ht="14.25" customHeight="1">
      <c r="B498" s="227"/>
      <c r="C498" s="290"/>
      <c r="D498" s="290"/>
      <c r="E498" s="290"/>
      <c r="F498" s="290"/>
      <c r="G498" s="290"/>
      <c r="H498" s="290"/>
      <c r="I498" s="290"/>
      <c r="J498" s="290"/>
      <c r="K498" s="290"/>
      <c r="L498" s="290"/>
      <c r="M498" s="290"/>
      <c r="N498" s="290"/>
      <c r="O498" s="290"/>
    </row>
    <row r="499" ht="14.25" customHeight="1">
      <c r="B499" s="227"/>
      <c r="C499" s="290"/>
      <c r="D499" s="290"/>
      <c r="E499" s="290"/>
      <c r="F499" s="290"/>
      <c r="G499" s="290"/>
      <c r="H499" s="290"/>
      <c r="I499" s="290"/>
      <c r="J499" s="290"/>
      <c r="K499" s="290"/>
      <c r="L499" s="290"/>
      <c r="M499" s="290"/>
      <c r="N499" s="290"/>
      <c r="O499" s="290"/>
    </row>
    <row r="500" ht="14.25" customHeight="1">
      <c r="B500" s="227"/>
      <c r="C500" s="290"/>
      <c r="D500" s="290"/>
      <c r="E500" s="290"/>
      <c r="F500" s="290"/>
      <c r="G500" s="290"/>
      <c r="H500" s="290"/>
      <c r="I500" s="290"/>
      <c r="J500" s="290"/>
      <c r="K500" s="290"/>
      <c r="L500" s="290"/>
      <c r="M500" s="290"/>
      <c r="N500" s="290"/>
      <c r="O500" s="290"/>
    </row>
    <row r="501" ht="14.25" customHeight="1">
      <c r="B501" s="227"/>
      <c r="C501" s="290"/>
      <c r="D501" s="290"/>
      <c r="E501" s="290"/>
      <c r="F501" s="290"/>
      <c r="G501" s="290"/>
      <c r="H501" s="290"/>
      <c r="I501" s="290"/>
      <c r="J501" s="290"/>
      <c r="K501" s="290"/>
      <c r="L501" s="290"/>
      <c r="M501" s="290"/>
      <c r="N501" s="290"/>
      <c r="O501" s="290"/>
    </row>
    <row r="502" ht="14.25" customHeight="1">
      <c r="B502" s="227"/>
      <c r="C502" s="290"/>
      <c r="D502" s="290"/>
      <c r="E502" s="290"/>
      <c r="F502" s="290"/>
      <c r="G502" s="290"/>
      <c r="H502" s="290"/>
      <c r="I502" s="290"/>
      <c r="J502" s="290"/>
      <c r="K502" s="290"/>
      <c r="L502" s="290"/>
      <c r="M502" s="290"/>
      <c r="N502" s="290"/>
      <c r="O502" s="290"/>
    </row>
    <row r="503" ht="14.25" customHeight="1">
      <c r="B503" s="227"/>
      <c r="C503" s="290"/>
      <c r="D503" s="290"/>
      <c r="E503" s="290"/>
      <c r="F503" s="290"/>
      <c r="G503" s="290"/>
      <c r="H503" s="290"/>
      <c r="I503" s="290"/>
      <c r="J503" s="290"/>
      <c r="K503" s="290"/>
      <c r="L503" s="290"/>
      <c r="M503" s="290"/>
      <c r="N503" s="290"/>
      <c r="O503" s="290"/>
    </row>
    <row r="504" ht="14.25" customHeight="1">
      <c r="B504" s="227"/>
      <c r="C504" s="290"/>
      <c r="D504" s="290"/>
      <c r="E504" s="290"/>
      <c r="F504" s="290"/>
      <c r="G504" s="290"/>
      <c r="H504" s="290"/>
      <c r="I504" s="290"/>
      <c r="J504" s="290"/>
      <c r="K504" s="290"/>
      <c r="L504" s="290"/>
      <c r="M504" s="290"/>
      <c r="N504" s="290"/>
      <c r="O504" s="290"/>
    </row>
    <row r="505" ht="14.25" customHeight="1">
      <c r="B505" s="227"/>
      <c r="C505" s="290"/>
      <c r="D505" s="290"/>
      <c r="E505" s="290"/>
      <c r="F505" s="290"/>
      <c r="G505" s="290"/>
      <c r="H505" s="290"/>
      <c r="I505" s="290"/>
      <c r="J505" s="290"/>
      <c r="K505" s="290"/>
      <c r="L505" s="290"/>
      <c r="M505" s="290"/>
      <c r="N505" s="290"/>
      <c r="O505" s="290"/>
    </row>
    <row r="506" ht="14.25" customHeight="1">
      <c r="B506" s="227"/>
      <c r="C506" s="290"/>
      <c r="D506" s="290"/>
      <c r="E506" s="290"/>
      <c r="F506" s="290"/>
      <c r="G506" s="290"/>
      <c r="H506" s="290"/>
      <c r="I506" s="290"/>
      <c r="J506" s="290"/>
      <c r="K506" s="290"/>
      <c r="L506" s="290"/>
      <c r="M506" s="290"/>
      <c r="N506" s="290"/>
      <c r="O506" s="290"/>
    </row>
    <row r="507" ht="14.25" customHeight="1">
      <c r="B507" s="227"/>
      <c r="C507" s="290"/>
      <c r="D507" s="290"/>
      <c r="E507" s="290"/>
      <c r="F507" s="290"/>
      <c r="G507" s="290"/>
      <c r="H507" s="290"/>
      <c r="I507" s="290"/>
      <c r="J507" s="290"/>
      <c r="K507" s="290"/>
      <c r="L507" s="290"/>
      <c r="M507" s="290"/>
      <c r="N507" s="290"/>
      <c r="O507" s="290"/>
    </row>
    <row r="508" ht="14.25" customHeight="1">
      <c r="B508" s="227"/>
      <c r="C508" s="290"/>
      <c r="D508" s="290"/>
      <c r="E508" s="290"/>
      <c r="F508" s="290"/>
      <c r="G508" s="290"/>
      <c r="H508" s="290"/>
      <c r="I508" s="290"/>
      <c r="J508" s="290"/>
      <c r="K508" s="290"/>
      <c r="L508" s="290"/>
      <c r="M508" s="290"/>
      <c r="N508" s="290"/>
      <c r="O508" s="290"/>
    </row>
    <row r="509" ht="14.25" customHeight="1">
      <c r="B509" s="227"/>
      <c r="C509" s="290"/>
      <c r="D509" s="290"/>
      <c r="E509" s="290"/>
      <c r="F509" s="290"/>
      <c r="G509" s="290"/>
      <c r="H509" s="290"/>
      <c r="I509" s="290"/>
      <c r="J509" s="290"/>
      <c r="K509" s="290"/>
      <c r="L509" s="290"/>
      <c r="M509" s="290"/>
      <c r="N509" s="290"/>
      <c r="O509" s="290"/>
    </row>
    <row r="510" ht="14.25" customHeight="1">
      <c r="B510" s="227"/>
      <c r="C510" s="290"/>
      <c r="D510" s="290"/>
      <c r="E510" s="290"/>
      <c r="F510" s="290"/>
      <c r="G510" s="290"/>
      <c r="H510" s="290"/>
      <c r="I510" s="290"/>
      <c r="J510" s="290"/>
      <c r="K510" s="290"/>
      <c r="L510" s="290"/>
      <c r="M510" s="290"/>
      <c r="N510" s="290"/>
      <c r="O510" s="290"/>
    </row>
    <row r="511" ht="14.25" customHeight="1">
      <c r="B511" s="227"/>
      <c r="C511" s="290"/>
      <c r="D511" s="290"/>
      <c r="E511" s="290"/>
      <c r="F511" s="290"/>
      <c r="G511" s="290"/>
      <c r="H511" s="290"/>
      <c r="I511" s="290"/>
      <c r="J511" s="290"/>
      <c r="K511" s="290"/>
      <c r="L511" s="290"/>
      <c r="M511" s="290"/>
      <c r="N511" s="290"/>
      <c r="O511" s="290"/>
    </row>
    <row r="512" ht="14.25" customHeight="1">
      <c r="B512" s="227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  <c r="N512" s="290"/>
      <c r="O512" s="290"/>
    </row>
    <row r="513" ht="14.25" customHeight="1">
      <c r="B513" s="227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  <c r="N513" s="290"/>
      <c r="O513" s="290"/>
    </row>
    <row r="514" ht="14.25" customHeight="1">
      <c r="B514" s="227"/>
      <c r="C514" s="290"/>
      <c r="D514" s="290"/>
      <c r="E514" s="290"/>
      <c r="F514" s="290"/>
      <c r="G514" s="290"/>
      <c r="H514" s="290"/>
      <c r="I514" s="290"/>
      <c r="J514" s="290"/>
      <c r="K514" s="290"/>
      <c r="L514" s="290"/>
      <c r="M514" s="290"/>
      <c r="N514" s="290"/>
      <c r="O514" s="290"/>
    </row>
    <row r="515" ht="14.25" customHeight="1">
      <c r="B515" s="227"/>
      <c r="C515" s="290"/>
      <c r="D515" s="290"/>
      <c r="E515" s="290"/>
      <c r="F515" s="290"/>
      <c r="G515" s="290"/>
      <c r="H515" s="290"/>
      <c r="I515" s="290"/>
      <c r="J515" s="290"/>
      <c r="K515" s="290"/>
      <c r="L515" s="290"/>
      <c r="M515" s="290"/>
      <c r="N515" s="290"/>
      <c r="O515" s="290"/>
    </row>
    <row r="516" ht="14.25" customHeight="1">
      <c r="B516" s="227"/>
      <c r="C516" s="290"/>
      <c r="D516" s="290"/>
      <c r="E516" s="290"/>
      <c r="F516" s="290"/>
      <c r="G516" s="290"/>
      <c r="H516" s="290"/>
      <c r="I516" s="290"/>
      <c r="J516" s="290"/>
      <c r="K516" s="290"/>
      <c r="L516" s="290"/>
      <c r="M516" s="290"/>
      <c r="N516" s="290"/>
      <c r="O516" s="290"/>
    </row>
    <row r="517" ht="14.25" customHeight="1">
      <c r="B517" s="227"/>
      <c r="C517" s="290"/>
      <c r="D517" s="290"/>
      <c r="E517" s="290"/>
      <c r="F517" s="290"/>
      <c r="G517" s="290"/>
      <c r="H517" s="290"/>
      <c r="I517" s="290"/>
      <c r="J517" s="290"/>
      <c r="K517" s="290"/>
      <c r="L517" s="290"/>
      <c r="M517" s="290"/>
      <c r="N517" s="290"/>
      <c r="O517" s="290"/>
    </row>
    <row r="518" ht="14.25" customHeight="1">
      <c r="B518" s="227"/>
      <c r="C518" s="290"/>
      <c r="D518" s="290"/>
      <c r="E518" s="290"/>
      <c r="F518" s="290"/>
      <c r="G518" s="290"/>
      <c r="H518" s="290"/>
      <c r="I518" s="290"/>
      <c r="J518" s="290"/>
      <c r="K518" s="290"/>
      <c r="L518" s="290"/>
      <c r="M518" s="290"/>
      <c r="N518" s="290"/>
      <c r="O518" s="290"/>
    </row>
    <row r="519" ht="14.25" customHeight="1">
      <c r="B519" s="227"/>
      <c r="C519" s="290"/>
      <c r="D519" s="290"/>
      <c r="E519" s="290"/>
      <c r="F519" s="290"/>
      <c r="G519" s="290"/>
      <c r="H519" s="290"/>
      <c r="I519" s="290"/>
      <c r="J519" s="290"/>
      <c r="K519" s="290"/>
      <c r="L519" s="290"/>
      <c r="M519" s="290"/>
      <c r="N519" s="290"/>
      <c r="O519" s="290"/>
    </row>
    <row r="520" ht="14.25" customHeight="1">
      <c r="B520" s="227"/>
      <c r="C520" s="290"/>
      <c r="D520" s="290"/>
      <c r="E520" s="290"/>
      <c r="F520" s="290"/>
      <c r="G520" s="290"/>
      <c r="H520" s="290"/>
      <c r="I520" s="290"/>
      <c r="J520" s="290"/>
      <c r="K520" s="290"/>
      <c r="L520" s="290"/>
      <c r="M520" s="290"/>
      <c r="N520" s="290"/>
      <c r="O520" s="290"/>
    </row>
    <row r="521" ht="14.25" customHeight="1">
      <c r="B521" s="227"/>
      <c r="C521" s="290"/>
      <c r="D521" s="290"/>
      <c r="E521" s="290"/>
      <c r="F521" s="290"/>
      <c r="G521" s="290"/>
      <c r="H521" s="290"/>
      <c r="I521" s="290"/>
      <c r="J521" s="290"/>
      <c r="K521" s="290"/>
      <c r="L521" s="290"/>
      <c r="M521" s="290"/>
      <c r="N521" s="290"/>
      <c r="O521" s="290"/>
    </row>
    <row r="522" ht="14.25" customHeight="1">
      <c r="B522" s="227"/>
      <c r="C522" s="290"/>
      <c r="D522" s="290"/>
      <c r="E522" s="290"/>
      <c r="F522" s="290"/>
      <c r="G522" s="290"/>
      <c r="H522" s="290"/>
      <c r="I522" s="290"/>
      <c r="J522" s="290"/>
      <c r="K522" s="290"/>
      <c r="L522" s="290"/>
      <c r="M522" s="290"/>
      <c r="N522" s="290"/>
      <c r="O522" s="290"/>
    </row>
    <row r="523" ht="14.25" customHeight="1">
      <c r="B523" s="227"/>
      <c r="C523" s="290"/>
      <c r="D523" s="290"/>
      <c r="E523" s="290"/>
      <c r="F523" s="290"/>
      <c r="G523" s="290"/>
      <c r="H523" s="290"/>
      <c r="I523" s="290"/>
      <c r="J523" s="290"/>
      <c r="K523" s="290"/>
      <c r="L523" s="290"/>
      <c r="M523" s="290"/>
      <c r="N523" s="290"/>
      <c r="O523" s="290"/>
    </row>
    <row r="524" ht="14.25" customHeight="1">
      <c r="B524" s="227"/>
      <c r="C524" s="290"/>
      <c r="D524" s="290"/>
      <c r="E524" s="290"/>
      <c r="F524" s="290"/>
      <c r="G524" s="290"/>
      <c r="H524" s="290"/>
      <c r="I524" s="290"/>
      <c r="J524" s="290"/>
      <c r="K524" s="290"/>
      <c r="L524" s="290"/>
      <c r="M524" s="290"/>
      <c r="N524" s="290"/>
      <c r="O524" s="290"/>
    </row>
    <row r="525" ht="14.25" customHeight="1">
      <c r="B525" s="227"/>
      <c r="C525" s="290"/>
      <c r="D525" s="290"/>
      <c r="E525" s="290"/>
      <c r="F525" s="290"/>
      <c r="G525" s="290"/>
      <c r="H525" s="290"/>
      <c r="I525" s="290"/>
      <c r="J525" s="290"/>
      <c r="K525" s="290"/>
      <c r="L525" s="290"/>
      <c r="M525" s="290"/>
      <c r="N525" s="290"/>
      <c r="O525" s="290"/>
    </row>
    <row r="526" ht="14.25" customHeight="1">
      <c r="B526" s="227"/>
      <c r="C526" s="290"/>
      <c r="D526" s="290"/>
      <c r="E526" s="290"/>
      <c r="F526" s="290"/>
      <c r="G526" s="290"/>
      <c r="H526" s="290"/>
      <c r="I526" s="290"/>
      <c r="J526" s="290"/>
      <c r="K526" s="290"/>
      <c r="L526" s="290"/>
      <c r="M526" s="290"/>
      <c r="N526" s="290"/>
      <c r="O526" s="290"/>
    </row>
    <row r="527" ht="14.25" customHeight="1">
      <c r="B527" s="227"/>
      <c r="C527" s="290"/>
      <c r="D527" s="290"/>
      <c r="E527" s="290"/>
      <c r="F527" s="290"/>
      <c r="G527" s="290"/>
      <c r="H527" s="290"/>
      <c r="I527" s="290"/>
      <c r="J527" s="290"/>
      <c r="K527" s="290"/>
      <c r="L527" s="290"/>
      <c r="M527" s="290"/>
      <c r="N527" s="290"/>
      <c r="O527" s="290"/>
    </row>
    <row r="528" ht="14.25" customHeight="1">
      <c r="B528" s="227"/>
      <c r="C528" s="290"/>
      <c r="D528" s="290"/>
      <c r="E528" s="290"/>
      <c r="F528" s="290"/>
      <c r="G528" s="290"/>
      <c r="H528" s="290"/>
      <c r="I528" s="290"/>
      <c r="J528" s="290"/>
      <c r="K528" s="290"/>
      <c r="L528" s="290"/>
      <c r="M528" s="290"/>
      <c r="N528" s="290"/>
      <c r="O528" s="290"/>
    </row>
    <row r="529" ht="14.25" customHeight="1">
      <c r="B529" s="227"/>
      <c r="C529" s="290"/>
      <c r="D529" s="290"/>
      <c r="E529" s="290"/>
      <c r="F529" s="290"/>
      <c r="G529" s="290"/>
      <c r="H529" s="290"/>
      <c r="I529" s="290"/>
      <c r="J529" s="290"/>
      <c r="K529" s="290"/>
      <c r="L529" s="290"/>
      <c r="M529" s="290"/>
      <c r="N529" s="290"/>
      <c r="O529" s="290"/>
    </row>
    <row r="530" ht="14.25" customHeight="1">
      <c r="B530" s="227"/>
      <c r="C530" s="290"/>
      <c r="D530" s="290"/>
      <c r="E530" s="290"/>
      <c r="F530" s="290"/>
      <c r="G530" s="290"/>
      <c r="H530" s="290"/>
      <c r="I530" s="290"/>
      <c r="J530" s="290"/>
      <c r="K530" s="290"/>
      <c r="L530" s="290"/>
      <c r="M530" s="290"/>
      <c r="N530" s="290"/>
      <c r="O530" s="290"/>
    </row>
    <row r="531" ht="14.25" customHeight="1">
      <c r="B531" s="227"/>
      <c r="C531" s="290"/>
      <c r="D531" s="290"/>
      <c r="E531" s="290"/>
      <c r="F531" s="290"/>
      <c r="G531" s="290"/>
      <c r="H531" s="290"/>
      <c r="I531" s="290"/>
      <c r="J531" s="290"/>
      <c r="K531" s="290"/>
      <c r="L531" s="290"/>
      <c r="M531" s="290"/>
      <c r="N531" s="290"/>
      <c r="O531" s="290"/>
    </row>
    <row r="532" ht="14.25" customHeight="1">
      <c r="B532" s="227"/>
      <c r="C532" s="290"/>
      <c r="D532" s="290"/>
      <c r="E532" s="290"/>
      <c r="F532" s="290"/>
      <c r="G532" s="290"/>
      <c r="H532" s="290"/>
      <c r="I532" s="290"/>
      <c r="J532" s="290"/>
      <c r="K532" s="290"/>
      <c r="L532" s="290"/>
      <c r="M532" s="290"/>
      <c r="N532" s="290"/>
      <c r="O532" s="290"/>
    </row>
    <row r="533" ht="14.25" customHeight="1">
      <c r="B533" s="227"/>
      <c r="C533" s="290"/>
      <c r="D533" s="290"/>
      <c r="E533" s="290"/>
      <c r="F533" s="290"/>
      <c r="G533" s="290"/>
      <c r="H533" s="290"/>
      <c r="I533" s="290"/>
      <c r="J533" s="290"/>
      <c r="K533" s="290"/>
      <c r="L533" s="290"/>
      <c r="M533" s="290"/>
      <c r="N533" s="290"/>
      <c r="O533" s="290"/>
    </row>
    <row r="534" ht="14.25" customHeight="1">
      <c r="B534" s="227"/>
      <c r="C534" s="290"/>
      <c r="D534" s="290"/>
      <c r="E534" s="290"/>
      <c r="F534" s="290"/>
      <c r="G534" s="290"/>
      <c r="H534" s="290"/>
      <c r="I534" s="290"/>
      <c r="J534" s="290"/>
      <c r="K534" s="290"/>
      <c r="L534" s="290"/>
      <c r="M534" s="290"/>
      <c r="N534" s="290"/>
      <c r="O534" s="290"/>
    </row>
    <row r="535" ht="14.25" customHeight="1">
      <c r="B535" s="227"/>
      <c r="C535" s="290"/>
      <c r="D535" s="290"/>
      <c r="E535" s="290"/>
      <c r="F535" s="290"/>
      <c r="G535" s="290"/>
      <c r="H535" s="290"/>
      <c r="I535" s="290"/>
      <c r="J535" s="290"/>
      <c r="K535" s="290"/>
      <c r="L535" s="290"/>
      <c r="M535" s="290"/>
      <c r="N535" s="290"/>
      <c r="O535" s="290"/>
    </row>
    <row r="536" ht="14.25" customHeight="1">
      <c r="B536" s="227"/>
      <c r="C536" s="290"/>
      <c r="D536" s="290"/>
      <c r="E536" s="290"/>
      <c r="F536" s="290"/>
      <c r="G536" s="290"/>
      <c r="H536" s="290"/>
      <c r="I536" s="290"/>
      <c r="J536" s="290"/>
      <c r="K536" s="290"/>
      <c r="L536" s="290"/>
      <c r="M536" s="290"/>
      <c r="N536" s="290"/>
      <c r="O536" s="290"/>
    </row>
    <row r="537" ht="14.25" customHeight="1">
      <c r="B537" s="227"/>
      <c r="C537" s="290"/>
      <c r="D537" s="290"/>
      <c r="E537" s="290"/>
      <c r="F537" s="290"/>
      <c r="G537" s="290"/>
      <c r="H537" s="290"/>
      <c r="I537" s="290"/>
      <c r="J537" s="290"/>
      <c r="K537" s="290"/>
      <c r="L537" s="290"/>
      <c r="M537" s="290"/>
      <c r="N537" s="290"/>
      <c r="O537" s="290"/>
    </row>
    <row r="538" ht="14.25" customHeight="1">
      <c r="B538" s="227"/>
      <c r="C538" s="290"/>
      <c r="D538" s="290"/>
      <c r="E538" s="290"/>
      <c r="F538" s="290"/>
      <c r="G538" s="290"/>
      <c r="H538" s="290"/>
      <c r="I538" s="290"/>
      <c r="J538" s="290"/>
      <c r="K538" s="290"/>
      <c r="L538" s="290"/>
      <c r="M538" s="290"/>
      <c r="N538" s="290"/>
      <c r="O538" s="290"/>
    </row>
    <row r="539" ht="14.25" customHeight="1">
      <c r="B539" s="227"/>
      <c r="C539" s="290"/>
      <c r="D539" s="290"/>
      <c r="E539" s="290"/>
      <c r="F539" s="290"/>
      <c r="G539" s="290"/>
      <c r="H539" s="290"/>
      <c r="I539" s="290"/>
      <c r="J539" s="290"/>
      <c r="K539" s="290"/>
      <c r="L539" s="290"/>
      <c r="M539" s="290"/>
      <c r="N539" s="290"/>
      <c r="O539" s="290"/>
    </row>
    <row r="540" ht="14.25" customHeight="1">
      <c r="B540" s="227"/>
      <c r="C540" s="290"/>
      <c r="D540" s="290"/>
      <c r="E540" s="290"/>
      <c r="F540" s="290"/>
      <c r="G540" s="290"/>
      <c r="H540" s="290"/>
      <c r="I540" s="290"/>
      <c r="J540" s="290"/>
      <c r="K540" s="290"/>
      <c r="L540" s="290"/>
      <c r="M540" s="290"/>
      <c r="N540" s="290"/>
      <c r="O540" s="290"/>
    </row>
    <row r="541" ht="14.25" customHeight="1">
      <c r="B541" s="227"/>
      <c r="C541" s="290"/>
      <c r="D541" s="290"/>
      <c r="E541" s="290"/>
      <c r="F541" s="290"/>
      <c r="G541" s="290"/>
      <c r="H541" s="290"/>
      <c r="I541" s="290"/>
      <c r="J541" s="290"/>
      <c r="K541" s="290"/>
      <c r="L541" s="290"/>
      <c r="M541" s="290"/>
      <c r="N541" s="290"/>
      <c r="O541" s="290"/>
    </row>
    <row r="542" ht="14.25" customHeight="1">
      <c r="B542" s="227"/>
      <c r="C542" s="290"/>
      <c r="D542" s="290"/>
      <c r="E542" s="290"/>
      <c r="F542" s="290"/>
      <c r="G542" s="290"/>
      <c r="H542" s="290"/>
      <c r="I542" s="290"/>
      <c r="J542" s="290"/>
      <c r="K542" s="290"/>
      <c r="L542" s="290"/>
      <c r="M542" s="290"/>
      <c r="N542" s="290"/>
      <c r="O542" s="290"/>
    </row>
    <row r="543" ht="14.25" customHeight="1">
      <c r="B543" s="227"/>
      <c r="C543" s="290"/>
      <c r="D543" s="290"/>
      <c r="E543" s="290"/>
      <c r="F543" s="290"/>
      <c r="G543" s="290"/>
      <c r="H543" s="290"/>
      <c r="I543" s="290"/>
      <c r="J543" s="290"/>
      <c r="K543" s="290"/>
      <c r="L543" s="290"/>
      <c r="M543" s="290"/>
      <c r="N543" s="290"/>
      <c r="O543" s="290"/>
    </row>
    <row r="544" ht="14.25" customHeight="1">
      <c r="B544" s="227"/>
      <c r="C544" s="290"/>
      <c r="D544" s="290"/>
      <c r="E544" s="290"/>
      <c r="F544" s="290"/>
      <c r="G544" s="290"/>
      <c r="H544" s="290"/>
      <c r="I544" s="290"/>
      <c r="J544" s="290"/>
      <c r="K544" s="290"/>
      <c r="L544" s="290"/>
      <c r="M544" s="290"/>
      <c r="N544" s="290"/>
      <c r="O544" s="290"/>
    </row>
    <row r="545" ht="14.25" customHeight="1">
      <c r="B545" s="227"/>
      <c r="C545" s="290"/>
      <c r="D545" s="290"/>
      <c r="E545" s="290"/>
      <c r="F545" s="290"/>
      <c r="G545" s="290"/>
      <c r="H545" s="290"/>
      <c r="I545" s="290"/>
      <c r="J545" s="290"/>
      <c r="K545" s="290"/>
      <c r="L545" s="290"/>
      <c r="M545" s="290"/>
      <c r="N545" s="290"/>
      <c r="O545" s="290"/>
    </row>
    <row r="546" ht="14.25" customHeight="1">
      <c r="B546" s="227"/>
      <c r="C546" s="290"/>
      <c r="D546" s="290"/>
      <c r="E546" s="290"/>
      <c r="F546" s="290"/>
      <c r="G546" s="290"/>
      <c r="H546" s="290"/>
      <c r="I546" s="290"/>
      <c r="J546" s="290"/>
      <c r="K546" s="290"/>
      <c r="L546" s="290"/>
      <c r="M546" s="290"/>
      <c r="N546" s="290"/>
      <c r="O546" s="290"/>
    </row>
    <row r="547" ht="14.25" customHeight="1">
      <c r="B547" s="227"/>
      <c r="C547" s="290"/>
      <c r="D547" s="290"/>
      <c r="E547" s="290"/>
      <c r="F547" s="290"/>
      <c r="G547" s="290"/>
      <c r="H547" s="290"/>
      <c r="I547" s="290"/>
      <c r="J547" s="290"/>
      <c r="K547" s="290"/>
      <c r="L547" s="290"/>
      <c r="M547" s="290"/>
      <c r="N547" s="290"/>
      <c r="O547" s="290"/>
    </row>
    <row r="548" ht="14.25" customHeight="1">
      <c r="B548" s="227"/>
      <c r="C548" s="290"/>
      <c r="D548" s="290"/>
      <c r="E548" s="290"/>
      <c r="F548" s="290"/>
      <c r="G548" s="290"/>
      <c r="H548" s="290"/>
      <c r="I548" s="290"/>
      <c r="J548" s="290"/>
      <c r="K548" s="290"/>
      <c r="L548" s="290"/>
      <c r="M548" s="290"/>
      <c r="N548" s="290"/>
      <c r="O548" s="290"/>
    </row>
    <row r="549" ht="14.25" customHeight="1">
      <c r="B549" s="227"/>
      <c r="C549" s="290"/>
      <c r="D549" s="290"/>
      <c r="E549" s="290"/>
      <c r="F549" s="290"/>
      <c r="G549" s="290"/>
      <c r="H549" s="290"/>
      <c r="I549" s="290"/>
      <c r="J549" s="290"/>
      <c r="K549" s="290"/>
      <c r="L549" s="290"/>
      <c r="M549" s="290"/>
      <c r="N549" s="290"/>
      <c r="O549" s="290"/>
    </row>
    <row r="550" ht="14.25" customHeight="1">
      <c r="B550" s="227"/>
      <c r="C550" s="290"/>
      <c r="D550" s="290"/>
      <c r="E550" s="290"/>
      <c r="F550" s="290"/>
      <c r="G550" s="290"/>
      <c r="H550" s="290"/>
      <c r="I550" s="290"/>
      <c r="J550" s="290"/>
      <c r="K550" s="290"/>
      <c r="L550" s="290"/>
      <c r="M550" s="290"/>
      <c r="N550" s="290"/>
      <c r="O550" s="290"/>
    </row>
    <row r="551" ht="14.25" customHeight="1">
      <c r="B551" s="227"/>
      <c r="C551" s="290"/>
      <c r="D551" s="290"/>
      <c r="E551" s="290"/>
      <c r="F551" s="290"/>
      <c r="G551" s="290"/>
      <c r="H551" s="290"/>
      <c r="I551" s="290"/>
      <c r="J551" s="290"/>
      <c r="K551" s="290"/>
      <c r="L551" s="290"/>
      <c r="M551" s="290"/>
      <c r="N551" s="290"/>
      <c r="O551" s="290"/>
    </row>
    <row r="552" ht="14.25" customHeight="1">
      <c r="B552" s="227"/>
      <c r="C552" s="290"/>
      <c r="D552" s="290"/>
      <c r="E552" s="290"/>
      <c r="F552" s="290"/>
      <c r="G552" s="290"/>
      <c r="H552" s="290"/>
      <c r="I552" s="290"/>
      <c r="J552" s="290"/>
      <c r="K552" s="290"/>
      <c r="L552" s="290"/>
      <c r="M552" s="290"/>
      <c r="N552" s="290"/>
      <c r="O552" s="290"/>
    </row>
    <row r="553" ht="14.25" customHeight="1">
      <c r="B553" s="227"/>
      <c r="C553" s="290"/>
      <c r="D553" s="290"/>
      <c r="E553" s="290"/>
      <c r="F553" s="290"/>
      <c r="G553" s="290"/>
      <c r="H553" s="290"/>
      <c r="I553" s="290"/>
      <c r="J553" s="290"/>
      <c r="K553" s="290"/>
      <c r="L553" s="290"/>
      <c r="M553" s="290"/>
      <c r="N553" s="290"/>
      <c r="O553" s="290"/>
    </row>
    <row r="554" ht="14.25" customHeight="1">
      <c r="B554" s="227"/>
      <c r="C554" s="290"/>
      <c r="D554" s="290"/>
      <c r="E554" s="290"/>
      <c r="F554" s="290"/>
      <c r="G554" s="290"/>
      <c r="H554" s="290"/>
      <c r="I554" s="290"/>
      <c r="J554" s="290"/>
      <c r="K554" s="290"/>
      <c r="L554" s="290"/>
      <c r="M554" s="290"/>
      <c r="N554" s="290"/>
      <c r="O554" s="290"/>
    </row>
    <row r="555" ht="14.25" customHeight="1">
      <c r="B555" s="227"/>
      <c r="C555" s="290"/>
      <c r="D555" s="290"/>
      <c r="E555" s="290"/>
      <c r="F555" s="290"/>
      <c r="G555" s="290"/>
      <c r="H555" s="290"/>
      <c r="I555" s="290"/>
      <c r="J555" s="290"/>
      <c r="K555" s="290"/>
      <c r="L555" s="290"/>
      <c r="M555" s="290"/>
      <c r="N555" s="290"/>
      <c r="O555" s="290"/>
    </row>
    <row r="556" ht="14.25" customHeight="1">
      <c r="B556" s="227"/>
      <c r="C556" s="290"/>
      <c r="D556" s="290"/>
      <c r="E556" s="290"/>
      <c r="F556" s="290"/>
      <c r="G556" s="290"/>
      <c r="H556" s="290"/>
      <c r="I556" s="290"/>
      <c r="J556" s="290"/>
      <c r="K556" s="290"/>
      <c r="L556" s="290"/>
      <c r="M556" s="290"/>
      <c r="N556" s="290"/>
      <c r="O556" s="290"/>
    </row>
    <row r="557" ht="14.25" customHeight="1">
      <c r="B557" s="227"/>
      <c r="C557" s="290"/>
      <c r="D557" s="290"/>
      <c r="E557" s="290"/>
      <c r="F557" s="290"/>
      <c r="G557" s="290"/>
      <c r="H557" s="290"/>
      <c r="I557" s="290"/>
      <c r="J557" s="290"/>
      <c r="K557" s="290"/>
      <c r="L557" s="290"/>
      <c r="M557" s="290"/>
      <c r="N557" s="290"/>
      <c r="O557" s="290"/>
    </row>
    <row r="558" ht="14.25" customHeight="1">
      <c r="B558" s="227"/>
      <c r="C558" s="290"/>
      <c r="D558" s="290"/>
      <c r="E558" s="290"/>
      <c r="F558" s="290"/>
      <c r="G558" s="290"/>
      <c r="H558" s="290"/>
      <c r="I558" s="290"/>
      <c r="J558" s="290"/>
      <c r="K558" s="290"/>
      <c r="L558" s="290"/>
      <c r="M558" s="290"/>
      <c r="N558" s="290"/>
      <c r="O558" s="290"/>
    </row>
    <row r="559" ht="14.25" customHeight="1">
      <c r="B559" s="227"/>
      <c r="C559" s="290"/>
      <c r="D559" s="290"/>
      <c r="E559" s="290"/>
      <c r="F559" s="290"/>
      <c r="G559" s="290"/>
      <c r="H559" s="290"/>
      <c r="I559" s="290"/>
      <c r="J559" s="290"/>
      <c r="K559" s="290"/>
      <c r="L559" s="290"/>
      <c r="M559" s="290"/>
      <c r="N559" s="290"/>
      <c r="O559" s="290"/>
    </row>
    <row r="560" ht="14.25" customHeight="1">
      <c r="B560" s="227"/>
      <c r="C560" s="290"/>
      <c r="D560" s="290"/>
      <c r="E560" s="290"/>
      <c r="F560" s="290"/>
      <c r="G560" s="290"/>
      <c r="H560" s="290"/>
      <c r="I560" s="290"/>
      <c r="J560" s="290"/>
      <c r="K560" s="290"/>
      <c r="L560" s="290"/>
      <c r="M560" s="290"/>
      <c r="N560" s="290"/>
      <c r="O560" s="290"/>
    </row>
    <row r="561" ht="14.25" customHeight="1">
      <c r="B561" s="227"/>
      <c r="C561" s="290"/>
      <c r="D561" s="290"/>
      <c r="E561" s="290"/>
      <c r="F561" s="290"/>
      <c r="G561" s="290"/>
      <c r="H561" s="290"/>
      <c r="I561" s="290"/>
      <c r="J561" s="290"/>
      <c r="K561" s="290"/>
      <c r="L561" s="290"/>
      <c r="M561" s="290"/>
      <c r="N561" s="290"/>
      <c r="O561" s="290"/>
    </row>
    <row r="562" ht="14.25" customHeight="1">
      <c r="B562" s="227"/>
      <c r="C562" s="290"/>
      <c r="D562" s="290"/>
      <c r="E562" s="290"/>
      <c r="F562" s="290"/>
      <c r="G562" s="290"/>
      <c r="H562" s="290"/>
      <c r="I562" s="290"/>
      <c r="J562" s="290"/>
      <c r="K562" s="290"/>
      <c r="L562" s="290"/>
      <c r="M562" s="290"/>
      <c r="N562" s="290"/>
      <c r="O562" s="290"/>
    </row>
    <row r="563" ht="14.25" customHeight="1">
      <c r="B563" s="227"/>
      <c r="C563" s="290"/>
      <c r="D563" s="290"/>
      <c r="E563" s="290"/>
      <c r="F563" s="290"/>
      <c r="G563" s="290"/>
      <c r="H563" s="290"/>
      <c r="I563" s="290"/>
      <c r="J563" s="290"/>
      <c r="K563" s="290"/>
      <c r="L563" s="290"/>
      <c r="M563" s="290"/>
      <c r="N563" s="290"/>
      <c r="O563" s="290"/>
    </row>
    <row r="564" ht="14.25" customHeight="1">
      <c r="B564" s="227"/>
      <c r="C564" s="290"/>
      <c r="D564" s="290"/>
      <c r="E564" s="290"/>
      <c r="F564" s="290"/>
      <c r="G564" s="290"/>
      <c r="H564" s="290"/>
      <c r="I564" s="290"/>
      <c r="J564" s="290"/>
      <c r="K564" s="290"/>
      <c r="L564" s="290"/>
      <c r="M564" s="290"/>
      <c r="N564" s="290"/>
      <c r="O564" s="290"/>
    </row>
    <row r="565" ht="14.25" customHeight="1">
      <c r="B565" s="227"/>
      <c r="C565" s="290"/>
      <c r="D565" s="290"/>
      <c r="E565" s="290"/>
      <c r="F565" s="290"/>
      <c r="G565" s="290"/>
      <c r="H565" s="290"/>
      <c r="I565" s="290"/>
      <c r="J565" s="290"/>
      <c r="K565" s="290"/>
      <c r="L565" s="290"/>
      <c r="M565" s="290"/>
      <c r="N565" s="290"/>
      <c r="O565" s="290"/>
    </row>
    <row r="566" ht="14.25" customHeight="1">
      <c r="B566" s="227"/>
      <c r="C566" s="290"/>
      <c r="D566" s="290"/>
      <c r="E566" s="290"/>
      <c r="F566" s="290"/>
      <c r="G566" s="290"/>
      <c r="H566" s="290"/>
      <c r="I566" s="290"/>
      <c r="J566" s="290"/>
      <c r="K566" s="290"/>
      <c r="L566" s="290"/>
      <c r="M566" s="290"/>
      <c r="N566" s="290"/>
      <c r="O566" s="290"/>
    </row>
    <row r="567" ht="14.25" customHeight="1">
      <c r="B567" s="227"/>
      <c r="C567" s="290"/>
      <c r="D567" s="290"/>
      <c r="E567" s="290"/>
      <c r="F567" s="290"/>
      <c r="G567" s="290"/>
      <c r="H567" s="290"/>
      <c r="I567" s="290"/>
      <c r="J567" s="290"/>
      <c r="K567" s="290"/>
      <c r="L567" s="290"/>
      <c r="M567" s="290"/>
      <c r="N567" s="290"/>
      <c r="O567" s="290"/>
    </row>
    <row r="568" ht="14.25" customHeight="1">
      <c r="B568" s="227"/>
      <c r="C568" s="290"/>
      <c r="D568" s="290"/>
      <c r="E568" s="290"/>
      <c r="F568" s="290"/>
      <c r="G568" s="290"/>
      <c r="H568" s="290"/>
      <c r="I568" s="290"/>
      <c r="J568" s="290"/>
      <c r="K568" s="290"/>
      <c r="L568" s="290"/>
      <c r="M568" s="290"/>
      <c r="N568" s="290"/>
      <c r="O568" s="290"/>
    </row>
    <row r="569" ht="14.25" customHeight="1">
      <c r="B569" s="227"/>
      <c r="C569" s="290"/>
      <c r="D569" s="290"/>
      <c r="E569" s="290"/>
      <c r="F569" s="290"/>
      <c r="G569" s="290"/>
      <c r="H569" s="290"/>
      <c r="I569" s="290"/>
      <c r="J569" s="290"/>
      <c r="K569" s="290"/>
      <c r="L569" s="290"/>
      <c r="M569" s="290"/>
      <c r="N569" s="290"/>
      <c r="O569" s="290"/>
    </row>
    <row r="570" ht="14.25" customHeight="1">
      <c r="B570" s="227"/>
      <c r="C570" s="290"/>
      <c r="D570" s="290"/>
      <c r="E570" s="290"/>
      <c r="F570" s="290"/>
      <c r="G570" s="290"/>
      <c r="H570" s="290"/>
      <c r="I570" s="290"/>
      <c r="J570" s="290"/>
      <c r="K570" s="290"/>
      <c r="L570" s="290"/>
      <c r="M570" s="290"/>
      <c r="N570" s="290"/>
      <c r="O570" s="290"/>
    </row>
    <row r="571" ht="14.25" customHeight="1">
      <c r="B571" s="227"/>
      <c r="C571" s="290"/>
      <c r="D571" s="290"/>
      <c r="E571" s="290"/>
      <c r="F571" s="290"/>
      <c r="G571" s="290"/>
      <c r="H571" s="290"/>
      <c r="I571" s="290"/>
      <c r="J571" s="290"/>
      <c r="K571" s="290"/>
      <c r="L571" s="290"/>
      <c r="M571" s="290"/>
      <c r="N571" s="290"/>
      <c r="O571" s="290"/>
    </row>
    <row r="572" ht="14.25" customHeight="1">
      <c r="B572" s="227"/>
      <c r="C572" s="290"/>
      <c r="D572" s="290"/>
      <c r="E572" s="290"/>
      <c r="F572" s="290"/>
      <c r="G572" s="290"/>
      <c r="H572" s="290"/>
      <c r="I572" s="290"/>
      <c r="J572" s="290"/>
      <c r="K572" s="290"/>
      <c r="L572" s="290"/>
      <c r="M572" s="290"/>
      <c r="N572" s="290"/>
      <c r="O572" s="290"/>
    </row>
    <row r="573" ht="14.25" customHeight="1">
      <c r="B573" s="227"/>
      <c r="C573" s="290"/>
      <c r="D573" s="290"/>
      <c r="E573" s="290"/>
      <c r="F573" s="290"/>
      <c r="G573" s="290"/>
      <c r="H573" s="290"/>
      <c r="I573" s="290"/>
      <c r="J573" s="290"/>
      <c r="K573" s="290"/>
      <c r="L573" s="290"/>
      <c r="M573" s="290"/>
      <c r="N573" s="290"/>
      <c r="O573" s="290"/>
    </row>
    <row r="574" ht="14.25" customHeight="1">
      <c r="B574" s="227"/>
      <c r="C574" s="290"/>
      <c r="D574" s="290"/>
      <c r="E574" s="290"/>
      <c r="F574" s="290"/>
      <c r="G574" s="290"/>
      <c r="H574" s="290"/>
      <c r="I574" s="290"/>
      <c r="J574" s="290"/>
      <c r="K574" s="290"/>
      <c r="L574" s="290"/>
      <c r="M574" s="290"/>
      <c r="N574" s="290"/>
      <c r="O574" s="290"/>
    </row>
    <row r="575" ht="14.25" customHeight="1">
      <c r="B575" s="227"/>
      <c r="C575" s="290"/>
      <c r="D575" s="290"/>
      <c r="E575" s="290"/>
      <c r="F575" s="290"/>
      <c r="G575" s="290"/>
      <c r="H575" s="290"/>
      <c r="I575" s="290"/>
      <c r="J575" s="290"/>
      <c r="K575" s="290"/>
      <c r="L575" s="290"/>
      <c r="M575" s="290"/>
      <c r="N575" s="290"/>
      <c r="O575" s="290"/>
    </row>
    <row r="576" ht="14.25" customHeight="1">
      <c r="B576" s="227"/>
      <c r="C576" s="290"/>
      <c r="D576" s="290"/>
      <c r="E576" s="290"/>
      <c r="F576" s="290"/>
      <c r="G576" s="290"/>
      <c r="H576" s="290"/>
      <c r="I576" s="290"/>
      <c r="J576" s="290"/>
      <c r="K576" s="290"/>
      <c r="L576" s="290"/>
      <c r="M576" s="290"/>
      <c r="N576" s="290"/>
      <c r="O576" s="290"/>
    </row>
    <row r="577" ht="14.25" customHeight="1">
      <c r="B577" s="227"/>
      <c r="C577" s="290"/>
      <c r="D577" s="290"/>
      <c r="E577" s="290"/>
      <c r="F577" s="290"/>
      <c r="G577" s="290"/>
      <c r="H577" s="290"/>
      <c r="I577" s="290"/>
      <c r="J577" s="290"/>
      <c r="K577" s="290"/>
      <c r="L577" s="290"/>
      <c r="M577" s="290"/>
      <c r="N577" s="290"/>
      <c r="O577" s="290"/>
    </row>
    <row r="578" ht="14.25" customHeight="1">
      <c r="B578" s="227"/>
      <c r="C578" s="290"/>
      <c r="D578" s="290"/>
      <c r="E578" s="290"/>
      <c r="F578" s="290"/>
      <c r="G578" s="290"/>
      <c r="H578" s="290"/>
      <c r="I578" s="290"/>
      <c r="J578" s="290"/>
      <c r="K578" s="290"/>
      <c r="L578" s="290"/>
      <c r="M578" s="290"/>
      <c r="N578" s="290"/>
      <c r="O578" s="290"/>
    </row>
    <row r="579" ht="14.25" customHeight="1">
      <c r="B579" s="227"/>
      <c r="C579" s="290"/>
      <c r="D579" s="290"/>
      <c r="E579" s="290"/>
      <c r="F579" s="290"/>
      <c r="G579" s="290"/>
      <c r="H579" s="290"/>
      <c r="I579" s="290"/>
      <c r="J579" s="290"/>
      <c r="K579" s="290"/>
      <c r="L579" s="290"/>
      <c r="M579" s="290"/>
      <c r="N579" s="290"/>
      <c r="O579" s="290"/>
    </row>
    <row r="580" ht="14.25" customHeight="1">
      <c r="B580" s="227"/>
      <c r="C580" s="290"/>
      <c r="D580" s="290"/>
      <c r="E580" s="290"/>
      <c r="F580" s="290"/>
      <c r="G580" s="290"/>
      <c r="H580" s="290"/>
      <c r="I580" s="290"/>
      <c r="J580" s="290"/>
      <c r="K580" s="290"/>
      <c r="L580" s="290"/>
      <c r="M580" s="290"/>
      <c r="N580" s="290"/>
      <c r="O580" s="290"/>
    </row>
    <row r="581" ht="14.25" customHeight="1">
      <c r="B581" s="227"/>
      <c r="C581" s="290"/>
      <c r="D581" s="290"/>
      <c r="E581" s="290"/>
      <c r="F581" s="290"/>
      <c r="G581" s="290"/>
      <c r="H581" s="290"/>
      <c r="I581" s="290"/>
      <c r="J581" s="290"/>
      <c r="K581" s="290"/>
      <c r="L581" s="290"/>
      <c r="M581" s="290"/>
      <c r="N581" s="290"/>
      <c r="O581" s="290"/>
    </row>
    <row r="582" ht="14.25" customHeight="1">
      <c r="B582" s="227"/>
      <c r="C582" s="290"/>
      <c r="D582" s="290"/>
      <c r="E582" s="290"/>
      <c r="F582" s="290"/>
      <c r="G582" s="290"/>
      <c r="H582" s="290"/>
      <c r="I582" s="290"/>
      <c r="J582" s="290"/>
      <c r="K582" s="290"/>
      <c r="L582" s="290"/>
      <c r="M582" s="290"/>
      <c r="N582" s="290"/>
      <c r="O582" s="290"/>
    </row>
    <row r="583" ht="14.25" customHeight="1">
      <c r="B583" s="227"/>
      <c r="C583" s="290"/>
      <c r="D583" s="290"/>
      <c r="E583" s="290"/>
      <c r="F583" s="290"/>
      <c r="G583" s="290"/>
      <c r="H583" s="290"/>
      <c r="I583" s="290"/>
      <c r="J583" s="290"/>
      <c r="K583" s="290"/>
      <c r="L583" s="290"/>
      <c r="M583" s="290"/>
      <c r="N583" s="290"/>
      <c r="O583" s="290"/>
    </row>
    <row r="584" ht="14.25" customHeight="1">
      <c r="B584" s="227"/>
      <c r="C584" s="290"/>
      <c r="D584" s="290"/>
      <c r="E584" s="290"/>
      <c r="F584" s="290"/>
      <c r="G584" s="290"/>
      <c r="H584" s="290"/>
      <c r="I584" s="290"/>
      <c r="J584" s="290"/>
      <c r="K584" s="290"/>
      <c r="L584" s="290"/>
      <c r="M584" s="290"/>
      <c r="N584" s="290"/>
      <c r="O584" s="290"/>
    </row>
    <row r="585" ht="14.25" customHeight="1">
      <c r="B585" s="227"/>
      <c r="C585" s="290"/>
      <c r="D585" s="290"/>
      <c r="E585" s="290"/>
      <c r="F585" s="290"/>
      <c r="G585" s="290"/>
      <c r="H585" s="290"/>
      <c r="I585" s="290"/>
      <c r="J585" s="290"/>
      <c r="K585" s="290"/>
      <c r="L585" s="290"/>
      <c r="M585" s="290"/>
      <c r="N585" s="290"/>
      <c r="O585" s="290"/>
    </row>
    <row r="586" ht="14.25" customHeight="1">
      <c r="B586" s="227"/>
      <c r="C586" s="290"/>
      <c r="D586" s="290"/>
      <c r="E586" s="290"/>
      <c r="F586" s="290"/>
      <c r="G586" s="290"/>
      <c r="H586" s="290"/>
      <c r="I586" s="290"/>
      <c r="J586" s="290"/>
      <c r="K586" s="290"/>
      <c r="L586" s="290"/>
      <c r="M586" s="290"/>
      <c r="N586" s="290"/>
      <c r="O586" s="290"/>
    </row>
    <row r="587" ht="14.25" customHeight="1">
      <c r="B587" s="227"/>
      <c r="C587" s="290"/>
      <c r="D587" s="290"/>
      <c r="E587" s="290"/>
      <c r="F587" s="290"/>
      <c r="G587" s="290"/>
      <c r="H587" s="290"/>
      <c r="I587" s="290"/>
      <c r="J587" s="290"/>
      <c r="K587" s="290"/>
      <c r="L587" s="290"/>
      <c r="M587" s="290"/>
      <c r="N587" s="290"/>
      <c r="O587" s="290"/>
    </row>
    <row r="588" ht="14.25" customHeight="1">
      <c r="B588" s="227"/>
      <c r="C588" s="290"/>
      <c r="D588" s="290"/>
      <c r="E588" s="290"/>
      <c r="F588" s="290"/>
      <c r="G588" s="290"/>
      <c r="H588" s="290"/>
      <c r="I588" s="290"/>
      <c r="J588" s="290"/>
      <c r="K588" s="290"/>
      <c r="L588" s="290"/>
      <c r="M588" s="290"/>
      <c r="N588" s="290"/>
      <c r="O588" s="290"/>
    </row>
    <row r="589" ht="14.25" customHeight="1">
      <c r="B589" s="227"/>
      <c r="C589" s="290"/>
      <c r="D589" s="290"/>
      <c r="E589" s="290"/>
      <c r="F589" s="290"/>
      <c r="G589" s="290"/>
      <c r="H589" s="290"/>
      <c r="I589" s="290"/>
      <c r="J589" s="290"/>
      <c r="K589" s="290"/>
      <c r="L589" s="290"/>
      <c r="M589" s="290"/>
      <c r="N589" s="290"/>
      <c r="O589" s="290"/>
    </row>
    <row r="590" ht="14.25" customHeight="1">
      <c r="B590" s="227"/>
      <c r="C590" s="290"/>
      <c r="D590" s="290"/>
      <c r="E590" s="290"/>
      <c r="F590" s="290"/>
      <c r="G590" s="290"/>
      <c r="H590" s="290"/>
      <c r="I590" s="290"/>
      <c r="J590" s="290"/>
      <c r="K590" s="290"/>
      <c r="L590" s="290"/>
      <c r="M590" s="290"/>
      <c r="N590" s="290"/>
      <c r="O590" s="290"/>
    </row>
    <row r="591" ht="14.25" customHeight="1">
      <c r="B591" s="227"/>
      <c r="C591" s="290"/>
      <c r="D591" s="290"/>
      <c r="E591" s="290"/>
      <c r="F591" s="290"/>
      <c r="G591" s="290"/>
      <c r="H591" s="290"/>
      <c r="I591" s="290"/>
      <c r="J591" s="290"/>
      <c r="K591" s="290"/>
      <c r="L591" s="290"/>
      <c r="M591" s="290"/>
      <c r="N591" s="290"/>
      <c r="O591" s="290"/>
    </row>
    <row r="592" ht="14.25" customHeight="1">
      <c r="B592" s="227"/>
      <c r="C592" s="290"/>
      <c r="D592" s="290"/>
      <c r="E592" s="290"/>
      <c r="F592" s="290"/>
      <c r="G592" s="290"/>
      <c r="H592" s="290"/>
      <c r="I592" s="290"/>
      <c r="J592" s="290"/>
      <c r="K592" s="290"/>
      <c r="L592" s="290"/>
      <c r="M592" s="290"/>
      <c r="N592" s="290"/>
      <c r="O592" s="290"/>
    </row>
    <row r="593" ht="14.25" customHeight="1">
      <c r="B593" s="227"/>
      <c r="C593" s="290"/>
      <c r="D593" s="290"/>
      <c r="E593" s="290"/>
      <c r="F593" s="290"/>
      <c r="G593" s="290"/>
      <c r="H593" s="290"/>
      <c r="I593" s="290"/>
      <c r="J593" s="290"/>
      <c r="K593" s="290"/>
      <c r="L593" s="290"/>
      <c r="M593" s="290"/>
      <c r="N593" s="290"/>
      <c r="O593" s="290"/>
    </row>
    <row r="594" ht="14.25" customHeight="1">
      <c r="B594" s="227"/>
      <c r="C594" s="290"/>
      <c r="D594" s="290"/>
      <c r="E594" s="290"/>
      <c r="F594" s="290"/>
      <c r="G594" s="290"/>
      <c r="H594" s="290"/>
      <c r="I594" s="290"/>
      <c r="J594" s="290"/>
      <c r="K594" s="290"/>
      <c r="L594" s="290"/>
      <c r="M594" s="290"/>
      <c r="N594" s="290"/>
      <c r="O594" s="290"/>
    </row>
    <row r="595" ht="14.25" customHeight="1">
      <c r="B595" s="227"/>
      <c r="C595" s="290"/>
      <c r="D595" s="290"/>
      <c r="E595" s="290"/>
      <c r="F595" s="290"/>
      <c r="G595" s="290"/>
      <c r="H595" s="290"/>
      <c r="I595" s="290"/>
      <c r="J595" s="290"/>
      <c r="K595" s="290"/>
      <c r="L595" s="290"/>
      <c r="M595" s="290"/>
      <c r="N595" s="290"/>
      <c r="O595" s="290"/>
    </row>
    <row r="596" ht="14.25" customHeight="1">
      <c r="B596" s="227"/>
      <c r="C596" s="290"/>
      <c r="D596" s="290"/>
      <c r="E596" s="290"/>
      <c r="F596" s="290"/>
      <c r="G596" s="290"/>
      <c r="H596" s="290"/>
      <c r="I596" s="290"/>
      <c r="J596" s="290"/>
      <c r="K596" s="290"/>
      <c r="L596" s="290"/>
      <c r="M596" s="290"/>
      <c r="N596" s="290"/>
      <c r="O596" s="290"/>
    </row>
    <row r="597" ht="14.25" customHeight="1">
      <c r="B597" s="227"/>
      <c r="C597" s="290"/>
      <c r="D597" s="290"/>
      <c r="E597" s="290"/>
      <c r="F597" s="290"/>
      <c r="G597" s="290"/>
      <c r="H597" s="290"/>
      <c r="I597" s="290"/>
      <c r="J597" s="290"/>
      <c r="K597" s="290"/>
      <c r="L597" s="290"/>
      <c r="M597" s="290"/>
      <c r="N597" s="290"/>
      <c r="O597" s="290"/>
    </row>
    <row r="598" ht="14.25" customHeight="1">
      <c r="B598" s="227"/>
      <c r="C598" s="290"/>
      <c r="D598" s="290"/>
      <c r="E598" s="290"/>
      <c r="F598" s="290"/>
      <c r="G598" s="290"/>
      <c r="H598" s="290"/>
      <c r="I598" s="290"/>
      <c r="J598" s="290"/>
      <c r="K598" s="290"/>
      <c r="L598" s="290"/>
      <c r="M598" s="290"/>
      <c r="N598" s="290"/>
      <c r="O598" s="290"/>
    </row>
    <row r="599" ht="14.25" customHeight="1">
      <c r="B599" s="227"/>
      <c r="C599" s="290"/>
      <c r="D599" s="290"/>
      <c r="E599" s="290"/>
      <c r="F599" s="290"/>
      <c r="G599" s="290"/>
      <c r="H599" s="290"/>
      <c r="I599" s="290"/>
      <c r="J599" s="290"/>
      <c r="K599" s="290"/>
      <c r="L599" s="290"/>
      <c r="M599" s="290"/>
      <c r="N599" s="290"/>
      <c r="O599" s="290"/>
    </row>
    <row r="600" ht="14.25" customHeight="1">
      <c r="B600" s="227"/>
      <c r="C600" s="290"/>
      <c r="D600" s="290"/>
      <c r="E600" s="290"/>
      <c r="F600" s="290"/>
      <c r="G600" s="290"/>
      <c r="H600" s="290"/>
      <c r="I600" s="290"/>
      <c r="J600" s="290"/>
      <c r="K600" s="290"/>
      <c r="L600" s="290"/>
      <c r="M600" s="290"/>
      <c r="N600" s="290"/>
      <c r="O600" s="290"/>
    </row>
    <row r="601" ht="14.25" customHeight="1">
      <c r="B601" s="227"/>
      <c r="C601" s="290"/>
      <c r="D601" s="290"/>
      <c r="E601" s="290"/>
      <c r="F601" s="290"/>
      <c r="G601" s="290"/>
      <c r="H601" s="290"/>
      <c r="I601" s="290"/>
      <c r="J601" s="290"/>
      <c r="K601" s="290"/>
      <c r="L601" s="290"/>
      <c r="M601" s="290"/>
      <c r="N601" s="290"/>
      <c r="O601" s="290"/>
    </row>
    <row r="602" ht="14.25" customHeight="1">
      <c r="B602" s="227"/>
      <c r="C602" s="290"/>
      <c r="D602" s="290"/>
      <c r="E602" s="290"/>
      <c r="F602" s="290"/>
      <c r="G602" s="290"/>
      <c r="H602" s="290"/>
      <c r="I602" s="290"/>
      <c r="J602" s="290"/>
      <c r="K602" s="290"/>
      <c r="L602" s="290"/>
      <c r="M602" s="290"/>
      <c r="N602" s="290"/>
      <c r="O602" s="290"/>
    </row>
    <row r="603" ht="14.25" customHeight="1">
      <c r="B603" s="227"/>
      <c r="C603" s="290"/>
      <c r="D603" s="290"/>
      <c r="E603" s="290"/>
      <c r="F603" s="290"/>
      <c r="G603" s="290"/>
      <c r="H603" s="290"/>
      <c r="I603" s="290"/>
      <c r="J603" s="290"/>
      <c r="K603" s="290"/>
      <c r="L603" s="290"/>
      <c r="M603" s="290"/>
      <c r="N603" s="290"/>
      <c r="O603" s="290"/>
    </row>
    <row r="604" ht="14.25" customHeight="1">
      <c r="B604" s="227"/>
      <c r="C604" s="290"/>
      <c r="D604" s="290"/>
      <c r="E604" s="290"/>
      <c r="F604" s="290"/>
      <c r="G604" s="290"/>
      <c r="H604" s="290"/>
      <c r="I604" s="290"/>
      <c r="J604" s="290"/>
      <c r="K604" s="290"/>
      <c r="L604" s="290"/>
      <c r="M604" s="290"/>
      <c r="N604" s="290"/>
      <c r="O604" s="290"/>
    </row>
    <row r="605" ht="14.25" customHeight="1">
      <c r="B605" s="227"/>
      <c r="C605" s="290"/>
      <c r="D605" s="290"/>
      <c r="E605" s="290"/>
      <c r="F605" s="290"/>
      <c r="G605" s="290"/>
      <c r="H605" s="290"/>
      <c r="I605" s="290"/>
      <c r="J605" s="290"/>
      <c r="K605" s="290"/>
      <c r="L605" s="290"/>
      <c r="M605" s="290"/>
      <c r="N605" s="290"/>
      <c r="O605" s="290"/>
    </row>
    <row r="606" ht="14.25" customHeight="1">
      <c r="B606" s="227"/>
      <c r="C606" s="290"/>
      <c r="D606" s="290"/>
      <c r="E606" s="290"/>
      <c r="F606" s="290"/>
      <c r="G606" s="290"/>
      <c r="H606" s="290"/>
      <c r="I606" s="290"/>
      <c r="J606" s="290"/>
      <c r="K606" s="290"/>
      <c r="L606" s="290"/>
      <c r="M606" s="290"/>
      <c r="N606" s="290"/>
      <c r="O606" s="290"/>
    </row>
    <row r="607" ht="14.25" customHeight="1">
      <c r="B607" s="227"/>
      <c r="C607" s="290"/>
      <c r="D607" s="290"/>
      <c r="E607" s="290"/>
      <c r="F607" s="290"/>
      <c r="G607" s="290"/>
      <c r="H607" s="290"/>
      <c r="I607" s="290"/>
      <c r="J607" s="290"/>
      <c r="K607" s="290"/>
      <c r="L607" s="290"/>
      <c r="M607" s="290"/>
      <c r="N607" s="290"/>
      <c r="O607" s="290"/>
    </row>
    <row r="608" ht="14.25" customHeight="1">
      <c r="B608" s="227"/>
      <c r="C608" s="290"/>
      <c r="D608" s="290"/>
      <c r="E608" s="290"/>
      <c r="F608" s="290"/>
      <c r="G608" s="290"/>
      <c r="H608" s="290"/>
      <c r="I608" s="290"/>
      <c r="J608" s="290"/>
      <c r="K608" s="290"/>
      <c r="L608" s="290"/>
      <c r="M608" s="290"/>
      <c r="N608" s="290"/>
      <c r="O608" s="290"/>
    </row>
    <row r="609" ht="14.25" customHeight="1">
      <c r="B609" s="227"/>
      <c r="C609" s="290"/>
      <c r="D609" s="290"/>
      <c r="E609" s="290"/>
      <c r="F609" s="290"/>
      <c r="G609" s="290"/>
      <c r="H609" s="290"/>
      <c r="I609" s="290"/>
      <c r="J609" s="290"/>
      <c r="K609" s="290"/>
      <c r="L609" s="290"/>
      <c r="M609" s="290"/>
      <c r="N609" s="290"/>
      <c r="O609" s="290"/>
    </row>
    <row r="610" ht="14.25" customHeight="1">
      <c r="B610" s="227"/>
      <c r="C610" s="290"/>
      <c r="D610" s="290"/>
      <c r="E610" s="290"/>
      <c r="F610" s="290"/>
      <c r="G610" s="290"/>
      <c r="H610" s="290"/>
      <c r="I610" s="290"/>
      <c r="J610" s="290"/>
      <c r="K610" s="290"/>
      <c r="L610" s="290"/>
      <c r="M610" s="290"/>
      <c r="N610" s="290"/>
      <c r="O610" s="290"/>
    </row>
    <row r="611" ht="14.25" customHeight="1">
      <c r="B611" s="227"/>
      <c r="C611" s="290"/>
      <c r="D611" s="290"/>
      <c r="E611" s="290"/>
      <c r="F611" s="290"/>
      <c r="G611" s="290"/>
      <c r="H611" s="290"/>
      <c r="I611" s="290"/>
      <c r="J611" s="290"/>
      <c r="K611" s="290"/>
      <c r="L611" s="290"/>
      <c r="M611" s="290"/>
      <c r="N611" s="290"/>
      <c r="O611" s="290"/>
    </row>
    <row r="612" ht="14.25" customHeight="1">
      <c r="B612" s="227"/>
      <c r="C612" s="290"/>
      <c r="D612" s="290"/>
      <c r="E612" s="290"/>
      <c r="F612" s="290"/>
      <c r="G612" s="290"/>
      <c r="H612" s="290"/>
      <c r="I612" s="290"/>
      <c r="J612" s="290"/>
      <c r="K612" s="290"/>
      <c r="L612" s="290"/>
      <c r="M612" s="290"/>
      <c r="N612" s="290"/>
      <c r="O612" s="290"/>
    </row>
    <row r="613" ht="14.25" customHeight="1">
      <c r="B613" s="227"/>
      <c r="C613" s="290"/>
      <c r="D613" s="290"/>
      <c r="E613" s="290"/>
      <c r="F613" s="290"/>
      <c r="G613" s="290"/>
      <c r="H613" s="290"/>
      <c r="I613" s="290"/>
      <c r="J613" s="290"/>
      <c r="K613" s="290"/>
      <c r="L613" s="290"/>
      <c r="M613" s="290"/>
      <c r="N613" s="290"/>
      <c r="O613" s="290"/>
    </row>
    <row r="614" ht="14.25" customHeight="1">
      <c r="B614" s="227"/>
      <c r="C614" s="290"/>
      <c r="D614" s="290"/>
      <c r="E614" s="290"/>
      <c r="F614" s="290"/>
      <c r="G614" s="290"/>
      <c r="H614" s="290"/>
      <c r="I614" s="290"/>
      <c r="J614" s="290"/>
      <c r="K614" s="290"/>
      <c r="L614" s="290"/>
      <c r="M614" s="290"/>
      <c r="N614" s="290"/>
      <c r="O614" s="290"/>
    </row>
    <row r="615" ht="14.25" customHeight="1">
      <c r="B615" s="227"/>
      <c r="C615" s="290"/>
      <c r="D615" s="290"/>
      <c r="E615" s="290"/>
      <c r="F615" s="290"/>
      <c r="G615" s="290"/>
      <c r="H615" s="290"/>
      <c r="I615" s="290"/>
      <c r="J615" s="290"/>
      <c r="K615" s="290"/>
      <c r="L615" s="290"/>
      <c r="M615" s="290"/>
      <c r="N615" s="290"/>
      <c r="O615" s="290"/>
    </row>
    <row r="616" ht="14.25" customHeight="1">
      <c r="B616" s="227"/>
      <c r="C616" s="290"/>
      <c r="D616" s="290"/>
      <c r="E616" s="290"/>
      <c r="F616" s="290"/>
      <c r="G616" s="290"/>
      <c r="H616" s="290"/>
      <c r="I616" s="290"/>
      <c r="J616" s="290"/>
      <c r="K616" s="290"/>
      <c r="L616" s="290"/>
      <c r="M616" s="290"/>
      <c r="N616" s="290"/>
      <c r="O616" s="290"/>
    </row>
    <row r="617" ht="14.25" customHeight="1">
      <c r="B617" s="227"/>
      <c r="C617" s="290"/>
      <c r="D617" s="290"/>
      <c r="E617" s="290"/>
      <c r="F617" s="290"/>
      <c r="G617" s="290"/>
      <c r="H617" s="290"/>
      <c r="I617" s="290"/>
      <c r="J617" s="290"/>
      <c r="K617" s="290"/>
      <c r="L617" s="290"/>
      <c r="M617" s="290"/>
      <c r="N617" s="290"/>
      <c r="O617" s="290"/>
    </row>
    <row r="618" ht="14.25" customHeight="1">
      <c r="B618" s="227"/>
      <c r="C618" s="290"/>
      <c r="D618" s="290"/>
      <c r="E618" s="290"/>
      <c r="F618" s="290"/>
      <c r="G618" s="290"/>
      <c r="H618" s="290"/>
      <c r="I618" s="290"/>
      <c r="J618" s="290"/>
      <c r="K618" s="290"/>
      <c r="L618" s="290"/>
      <c r="M618" s="290"/>
      <c r="N618" s="290"/>
      <c r="O618" s="290"/>
    </row>
    <row r="619" ht="14.25" customHeight="1">
      <c r="B619" s="227"/>
      <c r="C619" s="290"/>
      <c r="D619" s="290"/>
      <c r="E619" s="290"/>
      <c r="F619" s="290"/>
      <c r="G619" s="290"/>
      <c r="H619" s="290"/>
      <c r="I619" s="290"/>
      <c r="J619" s="290"/>
      <c r="K619" s="290"/>
      <c r="L619" s="290"/>
      <c r="M619" s="290"/>
      <c r="N619" s="290"/>
      <c r="O619" s="290"/>
    </row>
    <row r="620" ht="14.25" customHeight="1">
      <c r="B620" s="227"/>
      <c r="C620" s="290"/>
      <c r="D620" s="290"/>
      <c r="E620" s="290"/>
      <c r="F620" s="290"/>
      <c r="G620" s="290"/>
      <c r="H620" s="290"/>
      <c r="I620" s="290"/>
      <c r="J620" s="290"/>
      <c r="K620" s="290"/>
      <c r="L620" s="290"/>
      <c r="M620" s="290"/>
      <c r="N620" s="290"/>
      <c r="O620" s="290"/>
    </row>
    <row r="621" ht="14.25" customHeight="1">
      <c r="B621" s="227"/>
      <c r="C621" s="290"/>
      <c r="D621" s="290"/>
      <c r="E621" s="290"/>
      <c r="F621" s="290"/>
      <c r="G621" s="290"/>
      <c r="H621" s="290"/>
      <c r="I621" s="290"/>
      <c r="J621" s="290"/>
      <c r="K621" s="290"/>
      <c r="L621" s="290"/>
      <c r="M621" s="290"/>
      <c r="N621" s="290"/>
      <c r="O621" s="290"/>
    </row>
    <row r="622" ht="14.25" customHeight="1">
      <c r="B622" s="227"/>
      <c r="C622" s="290"/>
      <c r="D622" s="290"/>
      <c r="E622" s="290"/>
      <c r="F622" s="290"/>
      <c r="G622" s="290"/>
      <c r="H622" s="290"/>
      <c r="I622" s="290"/>
      <c r="J622" s="290"/>
      <c r="K622" s="290"/>
      <c r="L622" s="290"/>
      <c r="M622" s="290"/>
      <c r="N622" s="290"/>
      <c r="O622" s="290"/>
    </row>
    <row r="623" ht="14.25" customHeight="1">
      <c r="B623" s="227"/>
      <c r="C623" s="290"/>
      <c r="D623" s="290"/>
      <c r="E623" s="290"/>
      <c r="F623" s="290"/>
      <c r="G623" s="290"/>
      <c r="H623" s="290"/>
      <c r="I623" s="290"/>
      <c r="J623" s="290"/>
      <c r="K623" s="290"/>
      <c r="L623" s="290"/>
      <c r="M623" s="290"/>
      <c r="N623" s="290"/>
      <c r="O623" s="290"/>
    </row>
    <row r="624" ht="14.25" customHeight="1">
      <c r="B624" s="227"/>
      <c r="C624" s="290"/>
      <c r="D624" s="290"/>
      <c r="E624" s="290"/>
      <c r="F624" s="290"/>
      <c r="G624" s="290"/>
      <c r="H624" s="290"/>
      <c r="I624" s="290"/>
      <c r="J624" s="290"/>
      <c r="K624" s="290"/>
      <c r="L624" s="290"/>
      <c r="M624" s="290"/>
      <c r="N624" s="290"/>
      <c r="O624" s="290"/>
    </row>
    <row r="625" ht="14.25" customHeight="1">
      <c r="B625" s="227"/>
      <c r="C625" s="290"/>
      <c r="D625" s="290"/>
      <c r="E625" s="290"/>
      <c r="F625" s="290"/>
      <c r="G625" s="290"/>
      <c r="H625" s="290"/>
      <c r="I625" s="290"/>
      <c r="J625" s="290"/>
      <c r="K625" s="290"/>
      <c r="L625" s="290"/>
      <c r="M625" s="290"/>
      <c r="N625" s="290"/>
      <c r="O625" s="290"/>
    </row>
    <row r="626" ht="14.25" customHeight="1">
      <c r="B626" s="227"/>
      <c r="C626" s="290"/>
      <c r="D626" s="290"/>
      <c r="E626" s="290"/>
      <c r="F626" s="290"/>
      <c r="G626" s="290"/>
      <c r="H626" s="290"/>
      <c r="I626" s="290"/>
      <c r="J626" s="290"/>
      <c r="K626" s="290"/>
      <c r="L626" s="290"/>
      <c r="M626" s="290"/>
      <c r="N626" s="290"/>
      <c r="O626" s="290"/>
    </row>
    <row r="627" ht="14.25" customHeight="1">
      <c r="B627" s="227"/>
      <c r="C627" s="290"/>
      <c r="D627" s="290"/>
      <c r="E627" s="290"/>
      <c r="F627" s="290"/>
      <c r="G627" s="290"/>
      <c r="H627" s="290"/>
      <c r="I627" s="290"/>
      <c r="J627" s="290"/>
      <c r="K627" s="290"/>
      <c r="L627" s="290"/>
      <c r="M627" s="290"/>
      <c r="N627" s="290"/>
      <c r="O627" s="290"/>
    </row>
    <row r="628" ht="14.25" customHeight="1">
      <c r="B628" s="227"/>
      <c r="C628" s="290"/>
      <c r="D628" s="290"/>
      <c r="E628" s="290"/>
      <c r="F628" s="290"/>
      <c r="G628" s="290"/>
      <c r="H628" s="290"/>
      <c r="I628" s="290"/>
      <c r="J628" s="290"/>
      <c r="K628" s="290"/>
      <c r="L628" s="290"/>
      <c r="M628" s="290"/>
      <c r="N628" s="290"/>
      <c r="O628" s="290"/>
    </row>
    <row r="629" ht="14.25" customHeight="1">
      <c r="B629" s="227"/>
      <c r="C629" s="290"/>
      <c r="D629" s="290"/>
      <c r="E629" s="290"/>
      <c r="F629" s="290"/>
      <c r="G629" s="290"/>
      <c r="H629" s="290"/>
      <c r="I629" s="290"/>
      <c r="J629" s="290"/>
      <c r="K629" s="290"/>
      <c r="L629" s="290"/>
      <c r="M629" s="290"/>
      <c r="N629" s="290"/>
      <c r="O629" s="290"/>
    </row>
    <row r="630" ht="14.25" customHeight="1">
      <c r="B630" s="227"/>
      <c r="C630" s="290"/>
      <c r="D630" s="290"/>
      <c r="E630" s="290"/>
      <c r="F630" s="290"/>
      <c r="G630" s="290"/>
      <c r="H630" s="290"/>
      <c r="I630" s="290"/>
      <c r="J630" s="290"/>
      <c r="K630" s="290"/>
      <c r="L630" s="290"/>
      <c r="M630" s="290"/>
      <c r="N630" s="290"/>
      <c r="O630" s="290"/>
    </row>
    <row r="631" ht="14.25" customHeight="1">
      <c r="B631" s="227"/>
      <c r="C631" s="290"/>
      <c r="D631" s="290"/>
      <c r="E631" s="290"/>
      <c r="F631" s="290"/>
      <c r="G631" s="290"/>
      <c r="H631" s="290"/>
      <c r="I631" s="290"/>
      <c r="J631" s="290"/>
      <c r="K631" s="290"/>
      <c r="L631" s="290"/>
      <c r="M631" s="290"/>
      <c r="N631" s="290"/>
      <c r="O631" s="290"/>
    </row>
    <row r="632" ht="14.25" customHeight="1">
      <c r="B632" s="227"/>
      <c r="C632" s="290"/>
      <c r="D632" s="290"/>
      <c r="E632" s="290"/>
      <c r="F632" s="290"/>
      <c r="G632" s="290"/>
      <c r="H632" s="290"/>
      <c r="I632" s="290"/>
      <c r="J632" s="290"/>
      <c r="K632" s="290"/>
      <c r="L632" s="290"/>
      <c r="M632" s="290"/>
      <c r="N632" s="290"/>
      <c r="O632" s="290"/>
    </row>
    <row r="633" ht="14.25" customHeight="1">
      <c r="B633" s="227"/>
      <c r="C633" s="290"/>
      <c r="D633" s="290"/>
      <c r="E633" s="290"/>
      <c r="F633" s="290"/>
      <c r="G633" s="290"/>
      <c r="H633" s="290"/>
      <c r="I633" s="290"/>
      <c r="J633" s="290"/>
      <c r="K633" s="290"/>
      <c r="L633" s="290"/>
      <c r="M633" s="290"/>
      <c r="N633" s="290"/>
      <c r="O633" s="290"/>
    </row>
    <row r="634" ht="14.25" customHeight="1">
      <c r="B634" s="227"/>
      <c r="C634" s="290"/>
      <c r="D634" s="290"/>
      <c r="E634" s="290"/>
      <c r="F634" s="290"/>
      <c r="G634" s="290"/>
      <c r="H634" s="290"/>
      <c r="I634" s="290"/>
      <c r="J634" s="290"/>
      <c r="K634" s="290"/>
      <c r="L634" s="290"/>
      <c r="M634" s="290"/>
      <c r="N634" s="290"/>
      <c r="O634" s="290"/>
    </row>
    <row r="635" ht="14.25" customHeight="1">
      <c r="B635" s="227"/>
      <c r="C635" s="290"/>
      <c r="D635" s="290"/>
      <c r="E635" s="290"/>
      <c r="F635" s="290"/>
      <c r="G635" s="290"/>
      <c r="H635" s="290"/>
      <c r="I635" s="290"/>
      <c r="J635" s="290"/>
      <c r="K635" s="290"/>
      <c r="L635" s="290"/>
      <c r="M635" s="290"/>
      <c r="N635" s="290"/>
      <c r="O635" s="290"/>
    </row>
    <row r="636" ht="14.25" customHeight="1">
      <c r="B636" s="227"/>
      <c r="C636" s="290"/>
      <c r="D636" s="290"/>
      <c r="E636" s="290"/>
      <c r="F636" s="290"/>
      <c r="G636" s="290"/>
      <c r="H636" s="290"/>
      <c r="I636" s="290"/>
      <c r="J636" s="290"/>
      <c r="K636" s="290"/>
      <c r="L636" s="290"/>
      <c r="M636" s="290"/>
      <c r="N636" s="290"/>
      <c r="O636" s="290"/>
    </row>
    <row r="637" ht="14.25" customHeight="1">
      <c r="B637" s="227"/>
      <c r="C637" s="290"/>
      <c r="D637" s="290"/>
      <c r="E637" s="290"/>
      <c r="F637" s="290"/>
      <c r="G637" s="290"/>
      <c r="H637" s="290"/>
      <c r="I637" s="290"/>
      <c r="J637" s="290"/>
      <c r="K637" s="290"/>
      <c r="L637" s="290"/>
      <c r="M637" s="290"/>
      <c r="N637" s="290"/>
      <c r="O637" s="290"/>
    </row>
    <row r="638" ht="14.25" customHeight="1">
      <c r="B638" s="227"/>
      <c r="C638" s="290"/>
      <c r="D638" s="290"/>
      <c r="E638" s="290"/>
      <c r="F638" s="290"/>
      <c r="G638" s="290"/>
      <c r="H638" s="290"/>
      <c r="I638" s="290"/>
      <c r="J638" s="290"/>
      <c r="K638" s="290"/>
      <c r="L638" s="290"/>
      <c r="M638" s="290"/>
      <c r="N638" s="290"/>
      <c r="O638" s="290"/>
    </row>
    <row r="639" ht="14.25" customHeight="1">
      <c r="B639" s="227"/>
      <c r="C639" s="290"/>
      <c r="D639" s="290"/>
      <c r="E639" s="290"/>
      <c r="F639" s="290"/>
      <c r="G639" s="290"/>
      <c r="H639" s="290"/>
      <c r="I639" s="290"/>
      <c r="J639" s="290"/>
      <c r="K639" s="290"/>
      <c r="L639" s="290"/>
      <c r="M639" s="290"/>
      <c r="N639" s="290"/>
      <c r="O639" s="290"/>
    </row>
    <row r="640" ht="14.25" customHeight="1">
      <c r="B640" s="227"/>
      <c r="C640" s="290"/>
      <c r="D640" s="290"/>
      <c r="E640" s="290"/>
      <c r="F640" s="290"/>
      <c r="G640" s="290"/>
      <c r="H640" s="290"/>
      <c r="I640" s="290"/>
      <c r="J640" s="290"/>
      <c r="K640" s="290"/>
      <c r="L640" s="290"/>
      <c r="M640" s="290"/>
      <c r="N640" s="290"/>
      <c r="O640" s="290"/>
    </row>
    <row r="641" ht="14.25" customHeight="1">
      <c r="B641" s="227"/>
      <c r="C641" s="290"/>
      <c r="D641" s="290"/>
      <c r="E641" s="290"/>
      <c r="F641" s="290"/>
      <c r="G641" s="290"/>
      <c r="H641" s="290"/>
      <c r="I641" s="290"/>
      <c r="J641" s="290"/>
      <c r="K641" s="290"/>
      <c r="L641" s="290"/>
      <c r="M641" s="290"/>
      <c r="N641" s="290"/>
      <c r="O641" s="290"/>
    </row>
    <row r="642" ht="14.25" customHeight="1">
      <c r="B642" s="227"/>
      <c r="C642" s="290"/>
      <c r="D642" s="290"/>
      <c r="E642" s="290"/>
      <c r="F642" s="290"/>
      <c r="G642" s="290"/>
      <c r="H642" s="290"/>
      <c r="I642" s="290"/>
      <c r="J642" s="290"/>
      <c r="K642" s="290"/>
      <c r="L642" s="290"/>
      <c r="M642" s="290"/>
      <c r="N642" s="290"/>
      <c r="O642" s="290"/>
    </row>
    <row r="643" ht="14.25" customHeight="1">
      <c r="B643" s="227"/>
      <c r="C643" s="290"/>
      <c r="D643" s="290"/>
      <c r="E643" s="290"/>
      <c r="F643" s="290"/>
      <c r="G643" s="290"/>
      <c r="H643" s="290"/>
      <c r="I643" s="290"/>
      <c r="J643" s="290"/>
      <c r="K643" s="290"/>
      <c r="L643" s="290"/>
      <c r="M643" s="290"/>
      <c r="N643" s="290"/>
      <c r="O643" s="290"/>
    </row>
    <row r="644" ht="14.25" customHeight="1">
      <c r="B644" s="227"/>
      <c r="C644" s="290"/>
      <c r="D644" s="290"/>
      <c r="E644" s="290"/>
      <c r="F644" s="290"/>
      <c r="G644" s="290"/>
      <c r="H644" s="290"/>
      <c r="I644" s="290"/>
      <c r="J644" s="290"/>
      <c r="K644" s="290"/>
      <c r="L644" s="290"/>
      <c r="M644" s="290"/>
      <c r="N644" s="290"/>
      <c r="O644" s="290"/>
    </row>
    <row r="645" ht="14.25" customHeight="1">
      <c r="B645" s="227"/>
      <c r="C645" s="290"/>
      <c r="D645" s="290"/>
      <c r="E645" s="290"/>
      <c r="F645" s="290"/>
      <c r="G645" s="290"/>
      <c r="H645" s="290"/>
      <c r="I645" s="290"/>
      <c r="J645" s="290"/>
      <c r="K645" s="290"/>
      <c r="L645" s="290"/>
      <c r="M645" s="290"/>
      <c r="N645" s="290"/>
      <c r="O645" s="290"/>
    </row>
    <row r="646" ht="14.25" customHeight="1">
      <c r="B646" s="227"/>
      <c r="C646" s="290"/>
      <c r="D646" s="290"/>
      <c r="E646" s="290"/>
      <c r="F646" s="290"/>
      <c r="G646" s="290"/>
      <c r="H646" s="290"/>
      <c r="I646" s="290"/>
      <c r="J646" s="290"/>
      <c r="K646" s="290"/>
      <c r="L646" s="290"/>
      <c r="M646" s="290"/>
      <c r="N646" s="290"/>
      <c r="O646" s="290"/>
    </row>
    <row r="647" ht="14.25" customHeight="1">
      <c r="B647" s="227"/>
      <c r="C647" s="290"/>
      <c r="D647" s="290"/>
      <c r="E647" s="290"/>
      <c r="F647" s="290"/>
      <c r="G647" s="290"/>
      <c r="H647" s="290"/>
      <c r="I647" s="290"/>
      <c r="J647" s="290"/>
      <c r="K647" s="290"/>
      <c r="L647" s="290"/>
      <c r="M647" s="290"/>
      <c r="N647" s="290"/>
      <c r="O647" s="290"/>
    </row>
    <row r="648" ht="14.25" customHeight="1">
      <c r="B648" s="227"/>
      <c r="C648" s="290"/>
      <c r="D648" s="290"/>
      <c r="E648" s="290"/>
      <c r="F648" s="290"/>
      <c r="G648" s="290"/>
      <c r="H648" s="290"/>
      <c r="I648" s="290"/>
      <c r="J648" s="290"/>
      <c r="K648" s="290"/>
      <c r="L648" s="290"/>
      <c r="M648" s="290"/>
      <c r="N648" s="290"/>
      <c r="O648" s="290"/>
    </row>
    <row r="649" ht="14.25" customHeight="1">
      <c r="B649" s="227"/>
      <c r="C649" s="290"/>
      <c r="D649" s="290"/>
      <c r="E649" s="290"/>
      <c r="F649" s="290"/>
      <c r="G649" s="290"/>
      <c r="H649" s="290"/>
      <c r="I649" s="290"/>
      <c r="J649" s="290"/>
      <c r="K649" s="290"/>
      <c r="L649" s="290"/>
      <c r="M649" s="290"/>
      <c r="N649" s="290"/>
      <c r="O649" s="290"/>
    </row>
    <row r="650" ht="14.25" customHeight="1">
      <c r="B650" s="227"/>
      <c r="C650" s="290"/>
      <c r="D650" s="290"/>
      <c r="E650" s="290"/>
      <c r="F650" s="290"/>
      <c r="G650" s="290"/>
      <c r="H650" s="290"/>
      <c r="I650" s="290"/>
      <c r="J650" s="290"/>
      <c r="K650" s="290"/>
      <c r="L650" s="290"/>
      <c r="M650" s="290"/>
      <c r="N650" s="290"/>
      <c r="O650" s="290"/>
    </row>
    <row r="651" ht="14.25" customHeight="1">
      <c r="B651" s="227"/>
      <c r="C651" s="290"/>
      <c r="D651" s="290"/>
      <c r="E651" s="290"/>
      <c r="F651" s="290"/>
      <c r="G651" s="290"/>
      <c r="H651" s="290"/>
      <c r="I651" s="290"/>
      <c r="J651" s="290"/>
      <c r="K651" s="290"/>
      <c r="L651" s="290"/>
      <c r="M651" s="290"/>
      <c r="N651" s="290"/>
      <c r="O651" s="290"/>
    </row>
    <row r="652" ht="14.25" customHeight="1">
      <c r="B652" s="227"/>
      <c r="C652" s="290"/>
      <c r="D652" s="290"/>
      <c r="E652" s="290"/>
      <c r="F652" s="290"/>
      <c r="G652" s="290"/>
      <c r="H652" s="290"/>
      <c r="I652" s="290"/>
      <c r="J652" s="290"/>
      <c r="K652" s="290"/>
      <c r="L652" s="290"/>
      <c r="M652" s="290"/>
      <c r="N652" s="290"/>
      <c r="O652" s="290"/>
    </row>
    <row r="653" ht="14.25" customHeight="1">
      <c r="B653" s="227"/>
      <c r="C653" s="290"/>
      <c r="D653" s="290"/>
      <c r="E653" s="290"/>
      <c r="F653" s="290"/>
      <c r="G653" s="290"/>
      <c r="H653" s="290"/>
      <c r="I653" s="290"/>
      <c r="J653" s="290"/>
      <c r="K653" s="290"/>
      <c r="L653" s="290"/>
      <c r="M653" s="290"/>
      <c r="N653" s="290"/>
      <c r="O653" s="290"/>
    </row>
    <row r="654" ht="14.25" customHeight="1">
      <c r="B654" s="227"/>
      <c r="C654" s="290"/>
      <c r="D654" s="290"/>
      <c r="E654" s="290"/>
      <c r="F654" s="290"/>
      <c r="G654" s="290"/>
      <c r="H654" s="290"/>
      <c r="I654" s="290"/>
      <c r="J654" s="290"/>
      <c r="K654" s="290"/>
      <c r="L654" s="290"/>
      <c r="M654" s="290"/>
      <c r="N654" s="290"/>
      <c r="O654" s="290"/>
    </row>
    <row r="655" ht="14.25" customHeight="1">
      <c r="B655" s="227"/>
      <c r="C655" s="290"/>
      <c r="D655" s="290"/>
      <c r="E655" s="290"/>
      <c r="F655" s="290"/>
      <c r="G655" s="290"/>
      <c r="H655" s="290"/>
      <c r="I655" s="290"/>
      <c r="J655" s="290"/>
      <c r="K655" s="290"/>
      <c r="L655" s="290"/>
      <c r="M655" s="290"/>
      <c r="N655" s="290"/>
      <c r="O655" s="290"/>
    </row>
    <row r="656" ht="14.25" customHeight="1">
      <c r="B656" s="227"/>
      <c r="C656" s="290"/>
      <c r="D656" s="290"/>
      <c r="E656" s="290"/>
      <c r="F656" s="290"/>
      <c r="G656" s="290"/>
      <c r="H656" s="290"/>
      <c r="I656" s="290"/>
      <c r="J656" s="290"/>
      <c r="K656" s="290"/>
      <c r="L656" s="290"/>
      <c r="M656" s="290"/>
      <c r="N656" s="290"/>
      <c r="O656" s="290"/>
    </row>
    <row r="657" ht="14.25" customHeight="1">
      <c r="B657" s="227"/>
      <c r="C657" s="290"/>
      <c r="D657" s="290"/>
      <c r="E657" s="290"/>
      <c r="F657" s="290"/>
      <c r="G657" s="290"/>
      <c r="H657" s="290"/>
      <c r="I657" s="290"/>
      <c r="J657" s="290"/>
      <c r="K657" s="290"/>
      <c r="L657" s="290"/>
      <c r="M657" s="290"/>
      <c r="N657" s="290"/>
      <c r="O657" s="290"/>
    </row>
    <row r="658" ht="14.25" customHeight="1">
      <c r="B658" s="227"/>
      <c r="C658" s="290"/>
      <c r="D658" s="290"/>
      <c r="E658" s="290"/>
      <c r="F658" s="290"/>
      <c r="G658" s="290"/>
      <c r="H658" s="290"/>
      <c r="I658" s="290"/>
      <c r="J658" s="290"/>
      <c r="K658" s="290"/>
      <c r="L658" s="290"/>
      <c r="M658" s="290"/>
      <c r="N658" s="290"/>
      <c r="O658" s="290"/>
    </row>
    <row r="659" ht="14.25" customHeight="1">
      <c r="B659" s="227"/>
      <c r="C659" s="290"/>
      <c r="D659" s="290"/>
      <c r="E659" s="290"/>
      <c r="F659" s="290"/>
      <c r="G659" s="290"/>
      <c r="H659" s="290"/>
      <c r="I659" s="290"/>
      <c r="J659" s="290"/>
      <c r="K659" s="290"/>
      <c r="L659" s="290"/>
      <c r="M659" s="290"/>
      <c r="N659" s="290"/>
      <c r="O659" s="290"/>
    </row>
    <row r="660" ht="14.25" customHeight="1">
      <c r="B660" s="227"/>
      <c r="C660" s="290"/>
      <c r="D660" s="290"/>
      <c r="E660" s="290"/>
      <c r="F660" s="290"/>
      <c r="G660" s="290"/>
      <c r="H660" s="290"/>
      <c r="I660" s="290"/>
      <c r="J660" s="290"/>
      <c r="K660" s="290"/>
      <c r="L660" s="290"/>
      <c r="M660" s="290"/>
      <c r="N660" s="290"/>
      <c r="O660" s="290"/>
    </row>
    <row r="661" ht="14.25" customHeight="1">
      <c r="B661" s="227"/>
      <c r="C661" s="290"/>
      <c r="D661" s="290"/>
      <c r="E661" s="290"/>
      <c r="F661" s="290"/>
      <c r="G661" s="290"/>
      <c r="H661" s="290"/>
      <c r="I661" s="290"/>
      <c r="J661" s="290"/>
      <c r="K661" s="290"/>
      <c r="L661" s="290"/>
      <c r="M661" s="290"/>
      <c r="N661" s="290"/>
      <c r="O661" s="290"/>
    </row>
    <row r="662" ht="14.25" customHeight="1">
      <c r="B662" s="227"/>
      <c r="C662" s="290"/>
      <c r="D662" s="290"/>
      <c r="E662" s="290"/>
      <c r="F662" s="290"/>
      <c r="G662" s="290"/>
      <c r="H662" s="290"/>
      <c r="I662" s="290"/>
      <c r="J662" s="290"/>
      <c r="K662" s="290"/>
      <c r="L662" s="290"/>
      <c r="M662" s="290"/>
      <c r="N662" s="290"/>
      <c r="O662" s="290"/>
    </row>
    <row r="663" ht="14.25" customHeight="1">
      <c r="B663" s="227"/>
      <c r="C663" s="290"/>
      <c r="D663" s="290"/>
      <c r="E663" s="290"/>
      <c r="F663" s="290"/>
      <c r="G663" s="290"/>
      <c r="H663" s="290"/>
      <c r="I663" s="290"/>
      <c r="J663" s="290"/>
      <c r="K663" s="290"/>
      <c r="L663" s="290"/>
      <c r="M663" s="290"/>
      <c r="N663" s="290"/>
      <c r="O663" s="290"/>
    </row>
    <row r="664" ht="14.25" customHeight="1">
      <c r="B664" s="227"/>
      <c r="C664" s="290"/>
      <c r="D664" s="290"/>
      <c r="E664" s="290"/>
      <c r="F664" s="290"/>
      <c r="G664" s="290"/>
      <c r="H664" s="290"/>
      <c r="I664" s="290"/>
      <c r="J664" s="290"/>
      <c r="K664" s="290"/>
      <c r="L664" s="290"/>
      <c r="M664" s="290"/>
      <c r="N664" s="290"/>
      <c r="O664" s="290"/>
    </row>
    <row r="665" ht="14.25" customHeight="1">
      <c r="B665" s="227"/>
      <c r="C665" s="290"/>
      <c r="D665" s="290"/>
      <c r="E665" s="290"/>
      <c r="F665" s="290"/>
      <c r="G665" s="290"/>
      <c r="H665" s="290"/>
      <c r="I665" s="290"/>
      <c r="J665" s="290"/>
      <c r="K665" s="290"/>
      <c r="L665" s="290"/>
      <c r="M665" s="290"/>
      <c r="N665" s="290"/>
      <c r="O665" s="290"/>
    </row>
    <row r="666" ht="14.25" customHeight="1">
      <c r="B666" s="227"/>
      <c r="C666" s="290"/>
      <c r="D666" s="290"/>
      <c r="E666" s="290"/>
      <c r="F666" s="290"/>
      <c r="G666" s="290"/>
      <c r="H666" s="290"/>
      <c r="I666" s="290"/>
      <c r="J666" s="290"/>
      <c r="K666" s="290"/>
      <c r="L666" s="290"/>
      <c r="M666" s="290"/>
      <c r="N666" s="290"/>
      <c r="O666" s="290"/>
    </row>
    <row r="667" ht="14.25" customHeight="1">
      <c r="B667" s="227"/>
      <c r="C667" s="290"/>
      <c r="D667" s="290"/>
      <c r="E667" s="290"/>
      <c r="F667" s="290"/>
      <c r="G667" s="290"/>
      <c r="H667" s="290"/>
      <c r="I667" s="290"/>
      <c r="J667" s="290"/>
      <c r="K667" s="290"/>
      <c r="L667" s="290"/>
      <c r="M667" s="290"/>
      <c r="N667" s="290"/>
      <c r="O667" s="290"/>
    </row>
    <row r="668" ht="14.25" customHeight="1">
      <c r="B668" s="227"/>
      <c r="C668" s="290"/>
      <c r="D668" s="290"/>
      <c r="E668" s="290"/>
      <c r="F668" s="290"/>
      <c r="G668" s="290"/>
      <c r="H668" s="290"/>
      <c r="I668" s="290"/>
      <c r="J668" s="290"/>
      <c r="K668" s="290"/>
      <c r="L668" s="290"/>
      <c r="M668" s="290"/>
      <c r="N668" s="290"/>
      <c r="O668" s="290"/>
    </row>
    <row r="669" ht="14.25" customHeight="1">
      <c r="B669" s="227"/>
      <c r="C669" s="290"/>
      <c r="D669" s="290"/>
      <c r="E669" s="290"/>
      <c r="F669" s="290"/>
      <c r="G669" s="290"/>
      <c r="H669" s="290"/>
      <c r="I669" s="290"/>
      <c r="J669" s="290"/>
      <c r="K669" s="290"/>
      <c r="L669" s="290"/>
      <c r="M669" s="290"/>
      <c r="N669" s="290"/>
      <c r="O669" s="290"/>
    </row>
    <row r="670" ht="14.25" customHeight="1">
      <c r="B670" s="227"/>
      <c r="C670" s="290"/>
      <c r="D670" s="290"/>
      <c r="E670" s="290"/>
      <c r="F670" s="290"/>
      <c r="G670" s="290"/>
      <c r="H670" s="290"/>
      <c r="I670" s="290"/>
      <c r="J670" s="290"/>
      <c r="K670" s="290"/>
      <c r="L670" s="290"/>
      <c r="M670" s="290"/>
      <c r="N670" s="290"/>
      <c r="O670" s="290"/>
    </row>
    <row r="671" ht="14.25" customHeight="1">
      <c r="B671" s="227"/>
      <c r="C671" s="290"/>
      <c r="D671" s="290"/>
      <c r="E671" s="290"/>
      <c r="F671" s="290"/>
      <c r="G671" s="290"/>
      <c r="H671" s="290"/>
      <c r="I671" s="290"/>
      <c r="J671" s="290"/>
      <c r="K671" s="290"/>
      <c r="L671" s="290"/>
      <c r="M671" s="290"/>
      <c r="N671" s="290"/>
      <c r="O671" s="290"/>
    </row>
    <row r="672" ht="14.25" customHeight="1">
      <c r="B672" s="227"/>
      <c r="C672" s="290"/>
      <c r="D672" s="290"/>
      <c r="E672" s="290"/>
      <c r="F672" s="290"/>
      <c r="G672" s="290"/>
      <c r="H672" s="290"/>
      <c r="I672" s="290"/>
      <c r="J672" s="290"/>
      <c r="K672" s="290"/>
      <c r="L672" s="290"/>
      <c r="M672" s="290"/>
      <c r="N672" s="290"/>
      <c r="O672" s="290"/>
    </row>
    <row r="673" ht="14.25" customHeight="1">
      <c r="B673" s="227"/>
      <c r="C673" s="290"/>
      <c r="D673" s="290"/>
      <c r="E673" s="290"/>
      <c r="F673" s="290"/>
      <c r="G673" s="290"/>
      <c r="H673" s="290"/>
      <c r="I673" s="290"/>
      <c r="J673" s="290"/>
      <c r="K673" s="290"/>
      <c r="L673" s="290"/>
      <c r="M673" s="290"/>
      <c r="N673" s="290"/>
      <c r="O673" s="290"/>
    </row>
    <row r="674" ht="14.25" customHeight="1">
      <c r="B674" s="227"/>
      <c r="C674" s="290"/>
      <c r="D674" s="290"/>
      <c r="E674" s="290"/>
      <c r="F674" s="290"/>
      <c r="G674" s="290"/>
      <c r="H674" s="290"/>
      <c r="I674" s="290"/>
      <c r="J674" s="290"/>
      <c r="K674" s="290"/>
      <c r="L674" s="290"/>
      <c r="M674" s="290"/>
      <c r="N674" s="290"/>
      <c r="O674" s="290"/>
    </row>
    <row r="675" ht="14.25" customHeight="1">
      <c r="B675" s="227"/>
      <c r="C675" s="290"/>
      <c r="D675" s="290"/>
      <c r="E675" s="290"/>
      <c r="F675" s="290"/>
      <c r="G675" s="290"/>
      <c r="H675" s="290"/>
      <c r="I675" s="290"/>
      <c r="J675" s="290"/>
      <c r="K675" s="290"/>
      <c r="L675" s="290"/>
      <c r="M675" s="290"/>
      <c r="N675" s="290"/>
      <c r="O675" s="290"/>
    </row>
    <row r="676" ht="14.25" customHeight="1">
      <c r="B676" s="227"/>
      <c r="C676" s="290"/>
      <c r="D676" s="290"/>
      <c r="E676" s="290"/>
      <c r="F676" s="290"/>
      <c r="G676" s="290"/>
      <c r="H676" s="290"/>
      <c r="I676" s="290"/>
      <c r="J676" s="290"/>
      <c r="K676" s="290"/>
      <c r="L676" s="290"/>
      <c r="M676" s="290"/>
      <c r="N676" s="290"/>
      <c r="O676" s="290"/>
    </row>
    <row r="677" ht="14.25" customHeight="1">
      <c r="B677" s="227"/>
      <c r="C677" s="290"/>
      <c r="D677" s="290"/>
      <c r="E677" s="290"/>
      <c r="F677" s="290"/>
      <c r="G677" s="290"/>
      <c r="H677" s="290"/>
      <c r="I677" s="290"/>
      <c r="J677" s="290"/>
      <c r="K677" s="290"/>
      <c r="L677" s="290"/>
      <c r="M677" s="290"/>
      <c r="N677" s="290"/>
      <c r="O677" s="290"/>
    </row>
    <row r="678" ht="14.25" customHeight="1">
      <c r="B678" s="227"/>
      <c r="C678" s="290"/>
      <c r="D678" s="290"/>
      <c r="E678" s="290"/>
      <c r="F678" s="290"/>
      <c r="G678" s="290"/>
      <c r="H678" s="290"/>
      <c r="I678" s="290"/>
      <c r="J678" s="290"/>
      <c r="K678" s="290"/>
      <c r="L678" s="290"/>
      <c r="M678" s="290"/>
      <c r="N678" s="290"/>
      <c r="O678" s="290"/>
    </row>
    <row r="679" ht="14.25" customHeight="1">
      <c r="B679" s="227"/>
      <c r="C679" s="290"/>
      <c r="D679" s="290"/>
      <c r="E679" s="290"/>
      <c r="F679" s="290"/>
      <c r="G679" s="290"/>
      <c r="H679" s="290"/>
      <c r="I679" s="290"/>
      <c r="J679" s="290"/>
      <c r="K679" s="290"/>
      <c r="L679" s="290"/>
      <c r="M679" s="290"/>
      <c r="N679" s="290"/>
      <c r="O679" s="290"/>
    </row>
    <row r="680" ht="14.25" customHeight="1">
      <c r="B680" s="227"/>
      <c r="C680" s="290"/>
      <c r="D680" s="290"/>
      <c r="E680" s="290"/>
      <c r="F680" s="290"/>
      <c r="G680" s="290"/>
      <c r="H680" s="290"/>
      <c r="I680" s="290"/>
      <c r="J680" s="290"/>
      <c r="K680" s="290"/>
      <c r="L680" s="290"/>
      <c r="M680" s="290"/>
      <c r="N680" s="290"/>
      <c r="O680" s="290"/>
    </row>
    <row r="681" ht="14.25" customHeight="1">
      <c r="B681" s="227"/>
      <c r="C681" s="290"/>
      <c r="D681" s="290"/>
      <c r="E681" s="290"/>
      <c r="F681" s="290"/>
      <c r="G681" s="290"/>
      <c r="H681" s="290"/>
      <c r="I681" s="290"/>
      <c r="J681" s="290"/>
      <c r="K681" s="290"/>
      <c r="L681" s="290"/>
      <c r="M681" s="290"/>
      <c r="N681" s="290"/>
      <c r="O681" s="290"/>
    </row>
    <row r="682" ht="14.25" customHeight="1">
      <c r="B682" s="227"/>
      <c r="C682" s="290"/>
      <c r="D682" s="290"/>
      <c r="E682" s="290"/>
      <c r="F682" s="290"/>
      <c r="G682" s="290"/>
      <c r="H682" s="290"/>
      <c r="I682" s="290"/>
      <c r="J682" s="290"/>
      <c r="K682" s="290"/>
      <c r="L682" s="290"/>
      <c r="M682" s="290"/>
      <c r="N682" s="290"/>
      <c r="O682" s="290"/>
    </row>
    <row r="683" ht="14.25" customHeight="1">
      <c r="B683" s="227"/>
      <c r="C683" s="290"/>
      <c r="D683" s="290"/>
      <c r="E683" s="290"/>
      <c r="F683" s="290"/>
      <c r="G683" s="290"/>
      <c r="H683" s="290"/>
      <c r="I683" s="290"/>
      <c r="J683" s="290"/>
      <c r="K683" s="290"/>
      <c r="L683" s="290"/>
      <c r="M683" s="290"/>
      <c r="N683" s="290"/>
      <c r="O683" s="290"/>
    </row>
    <row r="684" ht="14.25" customHeight="1">
      <c r="B684" s="227"/>
      <c r="C684" s="290"/>
      <c r="D684" s="290"/>
      <c r="E684" s="290"/>
      <c r="F684" s="290"/>
      <c r="G684" s="290"/>
      <c r="H684" s="290"/>
      <c r="I684" s="290"/>
      <c r="J684" s="290"/>
      <c r="K684" s="290"/>
      <c r="L684" s="290"/>
      <c r="M684" s="290"/>
      <c r="N684" s="290"/>
      <c r="O684" s="290"/>
    </row>
    <row r="685" ht="14.25" customHeight="1">
      <c r="B685" s="227"/>
      <c r="C685" s="290"/>
      <c r="D685" s="290"/>
      <c r="E685" s="290"/>
      <c r="F685" s="290"/>
      <c r="G685" s="290"/>
      <c r="H685" s="290"/>
      <c r="I685" s="290"/>
      <c r="J685" s="290"/>
      <c r="K685" s="290"/>
      <c r="L685" s="290"/>
      <c r="M685" s="290"/>
      <c r="N685" s="290"/>
      <c r="O685" s="290"/>
    </row>
    <row r="686" ht="14.25" customHeight="1">
      <c r="B686" s="227"/>
      <c r="C686" s="290"/>
      <c r="D686" s="290"/>
      <c r="E686" s="290"/>
      <c r="F686" s="290"/>
      <c r="G686" s="290"/>
      <c r="H686" s="290"/>
      <c r="I686" s="290"/>
      <c r="J686" s="290"/>
      <c r="K686" s="290"/>
      <c r="L686" s="290"/>
      <c r="M686" s="290"/>
      <c r="N686" s="290"/>
      <c r="O686" s="290"/>
    </row>
    <row r="687" ht="14.25" customHeight="1">
      <c r="B687" s="227"/>
      <c r="C687" s="290"/>
      <c r="D687" s="290"/>
      <c r="E687" s="290"/>
      <c r="F687" s="290"/>
      <c r="G687" s="290"/>
      <c r="H687" s="290"/>
      <c r="I687" s="290"/>
      <c r="J687" s="290"/>
      <c r="K687" s="290"/>
      <c r="L687" s="290"/>
      <c r="M687" s="290"/>
      <c r="N687" s="290"/>
      <c r="O687" s="290"/>
    </row>
    <row r="688" ht="14.25" customHeight="1">
      <c r="B688" s="227"/>
      <c r="C688" s="290"/>
      <c r="D688" s="290"/>
      <c r="E688" s="290"/>
      <c r="F688" s="290"/>
      <c r="G688" s="290"/>
      <c r="H688" s="290"/>
      <c r="I688" s="290"/>
      <c r="J688" s="290"/>
      <c r="K688" s="290"/>
      <c r="L688" s="290"/>
      <c r="M688" s="290"/>
      <c r="N688" s="290"/>
      <c r="O688" s="290"/>
    </row>
    <row r="689" ht="14.25" customHeight="1">
      <c r="B689" s="227"/>
      <c r="C689" s="290"/>
      <c r="D689" s="290"/>
      <c r="E689" s="290"/>
      <c r="F689" s="290"/>
      <c r="G689" s="290"/>
      <c r="H689" s="290"/>
      <c r="I689" s="290"/>
      <c r="J689" s="290"/>
      <c r="K689" s="290"/>
      <c r="L689" s="290"/>
      <c r="M689" s="290"/>
      <c r="N689" s="290"/>
      <c r="O689" s="290"/>
    </row>
    <row r="690" ht="14.25" customHeight="1">
      <c r="B690" s="227"/>
      <c r="C690" s="290"/>
      <c r="D690" s="290"/>
      <c r="E690" s="290"/>
      <c r="F690" s="290"/>
      <c r="G690" s="290"/>
      <c r="H690" s="290"/>
      <c r="I690" s="290"/>
      <c r="J690" s="290"/>
      <c r="K690" s="290"/>
      <c r="L690" s="290"/>
      <c r="M690" s="290"/>
      <c r="N690" s="290"/>
      <c r="O690" s="290"/>
    </row>
    <row r="691" ht="14.25" customHeight="1">
      <c r="B691" s="227"/>
      <c r="C691" s="290"/>
      <c r="D691" s="290"/>
      <c r="E691" s="290"/>
      <c r="F691" s="290"/>
      <c r="G691" s="290"/>
      <c r="H691" s="290"/>
      <c r="I691" s="290"/>
      <c r="J691" s="290"/>
      <c r="K691" s="290"/>
      <c r="L691" s="290"/>
      <c r="M691" s="290"/>
      <c r="N691" s="290"/>
      <c r="O691" s="290"/>
    </row>
    <row r="692" ht="14.25" customHeight="1">
      <c r="B692" s="227"/>
      <c r="C692" s="290"/>
      <c r="D692" s="290"/>
      <c r="E692" s="290"/>
      <c r="F692" s="290"/>
      <c r="G692" s="290"/>
      <c r="H692" s="290"/>
      <c r="I692" s="290"/>
      <c r="J692" s="290"/>
      <c r="K692" s="290"/>
      <c r="L692" s="290"/>
      <c r="M692" s="290"/>
      <c r="N692" s="290"/>
      <c r="O692" s="290"/>
    </row>
    <row r="693" ht="14.25" customHeight="1">
      <c r="B693" s="227"/>
      <c r="C693" s="290"/>
      <c r="D693" s="290"/>
      <c r="E693" s="290"/>
      <c r="F693" s="290"/>
      <c r="G693" s="290"/>
      <c r="H693" s="290"/>
      <c r="I693" s="290"/>
      <c r="J693" s="290"/>
      <c r="K693" s="290"/>
      <c r="L693" s="290"/>
      <c r="M693" s="290"/>
      <c r="N693" s="290"/>
      <c r="O693" s="290"/>
    </row>
    <row r="694" ht="14.25" customHeight="1">
      <c r="B694" s="227"/>
      <c r="C694" s="290"/>
      <c r="D694" s="290"/>
      <c r="E694" s="290"/>
      <c r="F694" s="290"/>
      <c r="G694" s="290"/>
      <c r="H694" s="290"/>
      <c r="I694" s="290"/>
      <c r="J694" s="290"/>
      <c r="K694" s="290"/>
      <c r="L694" s="290"/>
      <c r="M694" s="290"/>
      <c r="N694" s="290"/>
      <c r="O694" s="290"/>
    </row>
    <row r="695" ht="14.25" customHeight="1">
      <c r="B695" s="227"/>
      <c r="C695" s="290"/>
      <c r="D695" s="290"/>
      <c r="E695" s="290"/>
      <c r="F695" s="290"/>
      <c r="G695" s="290"/>
      <c r="H695" s="290"/>
      <c r="I695" s="290"/>
      <c r="J695" s="290"/>
      <c r="K695" s="290"/>
      <c r="L695" s="290"/>
      <c r="M695" s="290"/>
      <c r="N695" s="290"/>
      <c r="O695" s="290"/>
    </row>
    <row r="696" ht="14.25" customHeight="1">
      <c r="B696" s="227"/>
      <c r="C696" s="290"/>
      <c r="D696" s="290"/>
      <c r="E696" s="290"/>
      <c r="F696" s="290"/>
      <c r="G696" s="290"/>
      <c r="H696" s="290"/>
      <c r="I696" s="290"/>
      <c r="J696" s="290"/>
      <c r="K696" s="290"/>
      <c r="L696" s="290"/>
      <c r="M696" s="290"/>
      <c r="N696" s="290"/>
      <c r="O696" s="290"/>
    </row>
    <row r="697" ht="14.25" customHeight="1">
      <c r="B697" s="227"/>
      <c r="C697" s="290"/>
      <c r="D697" s="290"/>
      <c r="E697" s="290"/>
      <c r="F697" s="290"/>
      <c r="G697" s="290"/>
      <c r="H697" s="290"/>
      <c r="I697" s="290"/>
      <c r="J697" s="290"/>
      <c r="K697" s="290"/>
      <c r="L697" s="290"/>
      <c r="M697" s="290"/>
      <c r="N697" s="290"/>
      <c r="O697" s="290"/>
    </row>
    <row r="698" ht="14.25" customHeight="1">
      <c r="B698" s="227"/>
      <c r="C698" s="290"/>
      <c r="D698" s="290"/>
      <c r="E698" s="290"/>
      <c r="F698" s="290"/>
      <c r="G698" s="290"/>
      <c r="H698" s="290"/>
      <c r="I698" s="290"/>
      <c r="J698" s="290"/>
      <c r="K698" s="290"/>
      <c r="L698" s="290"/>
      <c r="M698" s="290"/>
      <c r="N698" s="290"/>
      <c r="O698" s="290"/>
    </row>
    <row r="699" ht="14.25" customHeight="1">
      <c r="B699" s="227"/>
      <c r="C699" s="290"/>
      <c r="D699" s="290"/>
      <c r="E699" s="290"/>
      <c r="F699" s="290"/>
      <c r="G699" s="290"/>
      <c r="H699" s="290"/>
      <c r="I699" s="290"/>
      <c r="J699" s="290"/>
      <c r="K699" s="290"/>
      <c r="L699" s="290"/>
      <c r="M699" s="290"/>
      <c r="N699" s="290"/>
      <c r="O699" s="290"/>
    </row>
    <row r="700" ht="14.25" customHeight="1">
      <c r="B700" s="227"/>
      <c r="C700" s="290"/>
      <c r="D700" s="290"/>
      <c r="E700" s="290"/>
      <c r="F700" s="290"/>
      <c r="G700" s="290"/>
      <c r="H700" s="290"/>
      <c r="I700" s="290"/>
      <c r="J700" s="290"/>
      <c r="K700" s="290"/>
      <c r="L700" s="290"/>
      <c r="M700" s="290"/>
      <c r="N700" s="290"/>
      <c r="O700" s="290"/>
    </row>
    <row r="701" ht="14.25" customHeight="1">
      <c r="B701" s="227"/>
      <c r="C701" s="290"/>
      <c r="D701" s="290"/>
      <c r="E701" s="290"/>
      <c r="F701" s="290"/>
      <c r="G701" s="290"/>
      <c r="H701" s="290"/>
      <c r="I701" s="290"/>
      <c r="J701" s="290"/>
      <c r="K701" s="290"/>
      <c r="L701" s="290"/>
      <c r="M701" s="290"/>
      <c r="N701" s="290"/>
      <c r="O701" s="290"/>
    </row>
    <row r="702" ht="14.25" customHeight="1">
      <c r="B702" s="227"/>
      <c r="C702" s="290"/>
      <c r="D702" s="290"/>
      <c r="E702" s="290"/>
      <c r="F702" s="290"/>
      <c r="G702" s="290"/>
      <c r="H702" s="290"/>
      <c r="I702" s="290"/>
      <c r="J702" s="290"/>
      <c r="K702" s="290"/>
      <c r="L702" s="290"/>
      <c r="M702" s="290"/>
      <c r="N702" s="290"/>
      <c r="O702" s="290"/>
    </row>
    <row r="703" ht="14.25" customHeight="1">
      <c r="B703" s="227"/>
      <c r="C703" s="290"/>
      <c r="D703" s="290"/>
      <c r="E703" s="290"/>
      <c r="F703" s="290"/>
      <c r="G703" s="290"/>
      <c r="H703" s="290"/>
      <c r="I703" s="290"/>
      <c r="J703" s="290"/>
      <c r="K703" s="290"/>
      <c r="L703" s="290"/>
      <c r="M703" s="290"/>
      <c r="N703" s="290"/>
      <c r="O703" s="290"/>
    </row>
    <row r="704" ht="14.25" customHeight="1">
      <c r="B704" s="227"/>
      <c r="C704" s="290"/>
      <c r="D704" s="290"/>
      <c r="E704" s="290"/>
      <c r="F704" s="290"/>
      <c r="G704" s="290"/>
      <c r="H704" s="290"/>
      <c r="I704" s="290"/>
      <c r="J704" s="290"/>
      <c r="K704" s="290"/>
      <c r="L704" s="290"/>
      <c r="M704" s="290"/>
      <c r="N704" s="290"/>
      <c r="O704" s="290"/>
    </row>
    <row r="705" ht="14.25" customHeight="1">
      <c r="B705" s="227"/>
      <c r="C705" s="290"/>
      <c r="D705" s="290"/>
      <c r="E705" s="290"/>
      <c r="F705" s="290"/>
      <c r="G705" s="290"/>
      <c r="H705" s="290"/>
      <c r="I705" s="290"/>
      <c r="J705" s="290"/>
      <c r="K705" s="290"/>
      <c r="L705" s="290"/>
      <c r="M705" s="290"/>
      <c r="N705" s="290"/>
      <c r="O705" s="290"/>
    </row>
    <row r="706" ht="14.25" customHeight="1">
      <c r="B706" s="227"/>
      <c r="C706" s="290"/>
      <c r="D706" s="290"/>
      <c r="E706" s="290"/>
      <c r="F706" s="290"/>
      <c r="G706" s="290"/>
      <c r="H706" s="290"/>
      <c r="I706" s="290"/>
      <c r="J706" s="290"/>
      <c r="K706" s="290"/>
      <c r="L706" s="290"/>
      <c r="M706" s="290"/>
      <c r="N706" s="290"/>
      <c r="O706" s="290"/>
    </row>
    <row r="707" ht="14.25" customHeight="1">
      <c r="B707" s="227"/>
      <c r="C707" s="290"/>
      <c r="D707" s="290"/>
      <c r="E707" s="290"/>
      <c r="F707" s="290"/>
      <c r="G707" s="290"/>
      <c r="H707" s="290"/>
      <c r="I707" s="290"/>
      <c r="J707" s="290"/>
      <c r="K707" s="290"/>
      <c r="L707" s="290"/>
      <c r="M707" s="290"/>
      <c r="N707" s="290"/>
      <c r="O707" s="290"/>
    </row>
    <row r="708" ht="14.25" customHeight="1">
      <c r="B708" s="227"/>
      <c r="C708" s="290"/>
      <c r="D708" s="290"/>
      <c r="E708" s="290"/>
      <c r="F708" s="290"/>
      <c r="G708" s="290"/>
      <c r="H708" s="290"/>
      <c r="I708" s="290"/>
      <c r="J708" s="290"/>
      <c r="K708" s="290"/>
      <c r="L708" s="290"/>
      <c r="M708" s="290"/>
      <c r="N708" s="290"/>
      <c r="O708" s="290"/>
    </row>
    <row r="709" ht="14.25" customHeight="1">
      <c r="B709" s="227"/>
      <c r="C709" s="290"/>
      <c r="D709" s="290"/>
      <c r="E709" s="290"/>
      <c r="F709" s="290"/>
      <c r="G709" s="290"/>
      <c r="H709" s="290"/>
      <c r="I709" s="290"/>
      <c r="J709" s="290"/>
      <c r="K709" s="290"/>
      <c r="L709" s="290"/>
      <c r="M709" s="290"/>
      <c r="N709" s="290"/>
      <c r="O709" s="290"/>
    </row>
    <row r="710" ht="14.25" customHeight="1">
      <c r="B710" s="227"/>
      <c r="C710" s="290"/>
      <c r="D710" s="290"/>
      <c r="E710" s="290"/>
      <c r="F710" s="290"/>
      <c r="G710" s="290"/>
      <c r="H710" s="290"/>
      <c r="I710" s="290"/>
      <c r="J710" s="290"/>
      <c r="K710" s="290"/>
      <c r="L710" s="290"/>
      <c r="M710" s="290"/>
      <c r="N710" s="290"/>
      <c r="O710" s="290"/>
    </row>
    <row r="711" ht="14.25" customHeight="1">
      <c r="B711" s="227"/>
      <c r="C711" s="290"/>
      <c r="D711" s="290"/>
      <c r="E711" s="290"/>
      <c r="F711" s="290"/>
      <c r="G711" s="290"/>
      <c r="H711" s="290"/>
      <c r="I711" s="290"/>
      <c r="J711" s="290"/>
      <c r="K711" s="290"/>
      <c r="L711" s="290"/>
      <c r="M711" s="290"/>
      <c r="N711" s="290"/>
      <c r="O711" s="290"/>
    </row>
    <row r="712" ht="14.25" customHeight="1">
      <c r="B712" s="227"/>
      <c r="C712" s="290"/>
      <c r="D712" s="290"/>
      <c r="E712" s="290"/>
      <c r="F712" s="290"/>
      <c r="G712" s="290"/>
      <c r="H712" s="290"/>
      <c r="I712" s="290"/>
      <c r="J712" s="290"/>
      <c r="K712" s="290"/>
      <c r="L712" s="290"/>
      <c r="M712" s="290"/>
      <c r="N712" s="290"/>
      <c r="O712" s="290"/>
    </row>
    <row r="713" ht="14.25" customHeight="1">
      <c r="B713" s="227"/>
      <c r="C713" s="290"/>
      <c r="D713" s="290"/>
      <c r="E713" s="290"/>
      <c r="F713" s="290"/>
      <c r="G713" s="290"/>
      <c r="H713" s="290"/>
      <c r="I713" s="290"/>
      <c r="J713" s="290"/>
      <c r="K713" s="290"/>
      <c r="L713" s="290"/>
      <c r="M713" s="290"/>
      <c r="N713" s="290"/>
      <c r="O713" s="290"/>
    </row>
    <row r="714" ht="14.25" customHeight="1">
      <c r="B714" s="227"/>
      <c r="C714" s="290"/>
      <c r="D714" s="290"/>
      <c r="E714" s="290"/>
      <c r="F714" s="290"/>
      <c r="G714" s="290"/>
      <c r="H714" s="290"/>
      <c r="I714" s="290"/>
      <c r="J714" s="290"/>
      <c r="K714" s="290"/>
      <c r="L714" s="290"/>
      <c r="M714" s="290"/>
      <c r="N714" s="290"/>
      <c r="O714" s="290"/>
    </row>
    <row r="715" ht="14.25" customHeight="1">
      <c r="B715" s="227"/>
      <c r="C715" s="290"/>
      <c r="D715" s="290"/>
      <c r="E715" s="290"/>
      <c r="F715" s="290"/>
      <c r="G715" s="290"/>
      <c r="H715" s="290"/>
      <c r="I715" s="290"/>
      <c r="J715" s="290"/>
      <c r="K715" s="290"/>
      <c r="L715" s="290"/>
      <c r="M715" s="290"/>
      <c r="N715" s="290"/>
      <c r="O715" s="290"/>
    </row>
    <row r="716" ht="14.25" customHeight="1">
      <c r="B716" s="227"/>
      <c r="C716" s="290"/>
      <c r="D716" s="290"/>
      <c r="E716" s="290"/>
      <c r="F716" s="290"/>
      <c r="G716" s="290"/>
      <c r="H716" s="290"/>
      <c r="I716" s="290"/>
      <c r="J716" s="290"/>
      <c r="K716" s="290"/>
      <c r="L716" s="290"/>
      <c r="M716" s="290"/>
      <c r="N716" s="290"/>
      <c r="O716" s="290"/>
    </row>
    <row r="717" ht="14.25" customHeight="1">
      <c r="B717" s="227"/>
      <c r="C717" s="290"/>
      <c r="D717" s="290"/>
      <c r="E717" s="290"/>
      <c r="F717" s="290"/>
      <c r="G717" s="290"/>
      <c r="H717" s="290"/>
      <c r="I717" s="290"/>
      <c r="J717" s="290"/>
      <c r="K717" s="290"/>
      <c r="L717" s="290"/>
      <c r="M717" s="290"/>
      <c r="N717" s="290"/>
      <c r="O717" s="290"/>
    </row>
    <row r="718" ht="14.25" customHeight="1">
      <c r="B718" s="227"/>
      <c r="C718" s="290"/>
      <c r="D718" s="290"/>
      <c r="E718" s="290"/>
      <c r="F718" s="290"/>
      <c r="G718" s="290"/>
      <c r="H718" s="290"/>
      <c r="I718" s="290"/>
      <c r="J718" s="290"/>
      <c r="K718" s="290"/>
      <c r="L718" s="290"/>
      <c r="M718" s="290"/>
      <c r="N718" s="290"/>
      <c r="O718" s="290"/>
    </row>
    <row r="719" ht="14.25" customHeight="1">
      <c r="B719" s="227"/>
      <c r="C719" s="290"/>
      <c r="D719" s="290"/>
      <c r="E719" s="290"/>
      <c r="F719" s="290"/>
      <c r="G719" s="290"/>
      <c r="H719" s="290"/>
      <c r="I719" s="290"/>
      <c r="J719" s="290"/>
      <c r="K719" s="290"/>
      <c r="L719" s="290"/>
      <c r="M719" s="290"/>
      <c r="N719" s="290"/>
      <c r="O719" s="290"/>
    </row>
    <row r="720" ht="14.25" customHeight="1">
      <c r="B720" s="227"/>
      <c r="C720" s="290"/>
      <c r="D720" s="290"/>
      <c r="E720" s="290"/>
      <c r="F720" s="290"/>
      <c r="G720" s="290"/>
      <c r="H720" s="290"/>
      <c r="I720" s="290"/>
      <c r="J720" s="290"/>
      <c r="K720" s="290"/>
      <c r="L720" s="290"/>
      <c r="M720" s="290"/>
      <c r="N720" s="290"/>
      <c r="O720" s="290"/>
    </row>
    <row r="721" ht="14.25" customHeight="1">
      <c r="B721" s="227"/>
      <c r="C721" s="290"/>
      <c r="D721" s="290"/>
      <c r="E721" s="290"/>
      <c r="F721" s="290"/>
      <c r="G721" s="290"/>
      <c r="H721" s="290"/>
      <c r="I721" s="290"/>
      <c r="J721" s="290"/>
      <c r="K721" s="290"/>
      <c r="L721" s="290"/>
      <c r="M721" s="290"/>
      <c r="N721" s="290"/>
      <c r="O721" s="290"/>
    </row>
    <row r="722" ht="14.25" customHeight="1">
      <c r="B722" s="227"/>
      <c r="C722" s="290"/>
      <c r="D722" s="290"/>
      <c r="E722" s="290"/>
      <c r="F722" s="290"/>
      <c r="G722" s="290"/>
      <c r="H722" s="290"/>
      <c r="I722" s="290"/>
      <c r="J722" s="290"/>
      <c r="K722" s="290"/>
      <c r="L722" s="290"/>
      <c r="M722" s="290"/>
      <c r="N722" s="290"/>
      <c r="O722" s="290"/>
    </row>
    <row r="723" ht="14.25" customHeight="1">
      <c r="B723" s="227"/>
      <c r="C723" s="290"/>
      <c r="D723" s="290"/>
      <c r="E723" s="290"/>
      <c r="F723" s="290"/>
      <c r="G723" s="290"/>
      <c r="H723" s="290"/>
      <c r="I723" s="290"/>
      <c r="J723" s="290"/>
      <c r="K723" s="290"/>
      <c r="L723" s="290"/>
      <c r="M723" s="290"/>
      <c r="N723" s="290"/>
      <c r="O723" s="290"/>
    </row>
    <row r="724" ht="14.25" customHeight="1">
      <c r="B724" s="227"/>
      <c r="C724" s="290"/>
      <c r="D724" s="290"/>
      <c r="E724" s="290"/>
      <c r="F724" s="290"/>
      <c r="G724" s="290"/>
      <c r="H724" s="290"/>
      <c r="I724" s="290"/>
      <c r="J724" s="290"/>
      <c r="K724" s="290"/>
      <c r="L724" s="290"/>
      <c r="M724" s="290"/>
      <c r="N724" s="290"/>
      <c r="O724" s="290"/>
    </row>
    <row r="725" ht="14.25" customHeight="1">
      <c r="B725" s="227"/>
      <c r="C725" s="290"/>
      <c r="D725" s="290"/>
      <c r="E725" s="290"/>
      <c r="F725" s="290"/>
      <c r="G725" s="290"/>
      <c r="H725" s="290"/>
      <c r="I725" s="290"/>
      <c r="J725" s="290"/>
      <c r="K725" s="290"/>
      <c r="L725" s="290"/>
      <c r="M725" s="290"/>
      <c r="N725" s="290"/>
      <c r="O725" s="290"/>
    </row>
    <row r="726" ht="14.25" customHeight="1">
      <c r="B726" s="227"/>
      <c r="C726" s="290"/>
      <c r="D726" s="290"/>
      <c r="E726" s="290"/>
      <c r="F726" s="290"/>
      <c r="G726" s="290"/>
      <c r="H726" s="290"/>
      <c r="I726" s="290"/>
      <c r="J726" s="290"/>
      <c r="K726" s="290"/>
      <c r="L726" s="290"/>
      <c r="M726" s="290"/>
      <c r="N726" s="290"/>
      <c r="O726" s="290"/>
    </row>
    <row r="727" ht="14.25" customHeight="1">
      <c r="B727" s="227"/>
      <c r="C727" s="290"/>
      <c r="D727" s="290"/>
      <c r="E727" s="290"/>
      <c r="F727" s="290"/>
      <c r="G727" s="290"/>
      <c r="H727" s="290"/>
      <c r="I727" s="290"/>
      <c r="J727" s="290"/>
      <c r="K727" s="290"/>
      <c r="L727" s="290"/>
      <c r="M727" s="290"/>
      <c r="N727" s="290"/>
      <c r="O727" s="290"/>
    </row>
    <row r="728" ht="14.25" customHeight="1">
      <c r="B728" s="227"/>
      <c r="C728" s="290"/>
      <c r="D728" s="290"/>
      <c r="E728" s="290"/>
      <c r="F728" s="290"/>
      <c r="G728" s="290"/>
      <c r="H728" s="290"/>
      <c r="I728" s="290"/>
      <c r="J728" s="290"/>
      <c r="K728" s="290"/>
      <c r="L728" s="290"/>
      <c r="M728" s="290"/>
      <c r="N728" s="290"/>
      <c r="O728" s="290"/>
    </row>
    <row r="729" ht="14.25" customHeight="1">
      <c r="B729" s="227"/>
      <c r="C729" s="290"/>
      <c r="D729" s="290"/>
      <c r="E729" s="290"/>
      <c r="F729" s="290"/>
      <c r="G729" s="290"/>
      <c r="H729" s="290"/>
      <c r="I729" s="290"/>
      <c r="J729" s="290"/>
      <c r="K729" s="290"/>
      <c r="L729" s="290"/>
      <c r="M729" s="290"/>
      <c r="N729" s="290"/>
      <c r="O729" s="290"/>
    </row>
    <row r="730" ht="14.25" customHeight="1">
      <c r="B730" s="227"/>
      <c r="C730" s="290"/>
      <c r="D730" s="290"/>
      <c r="E730" s="290"/>
      <c r="F730" s="290"/>
      <c r="G730" s="290"/>
      <c r="H730" s="290"/>
      <c r="I730" s="290"/>
      <c r="J730" s="290"/>
      <c r="K730" s="290"/>
      <c r="L730" s="290"/>
      <c r="M730" s="290"/>
      <c r="N730" s="290"/>
      <c r="O730" s="290"/>
    </row>
    <row r="731" ht="14.25" customHeight="1">
      <c r="B731" s="227"/>
      <c r="C731" s="290"/>
      <c r="D731" s="290"/>
      <c r="E731" s="290"/>
      <c r="F731" s="290"/>
      <c r="G731" s="290"/>
      <c r="H731" s="290"/>
      <c r="I731" s="290"/>
      <c r="J731" s="290"/>
      <c r="K731" s="290"/>
      <c r="L731" s="290"/>
      <c r="M731" s="290"/>
      <c r="N731" s="290"/>
      <c r="O731" s="290"/>
    </row>
    <row r="732" ht="14.25" customHeight="1">
      <c r="B732" s="227"/>
      <c r="C732" s="290"/>
      <c r="D732" s="290"/>
      <c r="E732" s="290"/>
      <c r="F732" s="290"/>
      <c r="G732" s="290"/>
      <c r="H732" s="290"/>
      <c r="I732" s="290"/>
      <c r="J732" s="290"/>
      <c r="K732" s="290"/>
      <c r="L732" s="290"/>
      <c r="M732" s="290"/>
      <c r="N732" s="290"/>
      <c r="O732" s="290"/>
    </row>
    <row r="733" ht="14.25" customHeight="1">
      <c r="B733" s="227"/>
      <c r="C733" s="290"/>
      <c r="D733" s="290"/>
      <c r="E733" s="290"/>
      <c r="F733" s="290"/>
      <c r="G733" s="290"/>
      <c r="H733" s="290"/>
      <c r="I733" s="290"/>
      <c r="J733" s="290"/>
      <c r="K733" s="290"/>
      <c r="L733" s="290"/>
      <c r="M733" s="290"/>
      <c r="N733" s="290"/>
      <c r="O733" s="290"/>
    </row>
    <row r="734" ht="14.25" customHeight="1">
      <c r="B734" s="227"/>
      <c r="C734" s="290"/>
      <c r="D734" s="290"/>
      <c r="E734" s="290"/>
      <c r="F734" s="290"/>
      <c r="G734" s="290"/>
      <c r="H734" s="290"/>
      <c r="I734" s="290"/>
      <c r="J734" s="290"/>
      <c r="K734" s="290"/>
      <c r="L734" s="290"/>
      <c r="M734" s="290"/>
      <c r="N734" s="290"/>
      <c r="O734" s="290"/>
    </row>
    <row r="735" ht="14.25" customHeight="1">
      <c r="B735" s="227"/>
      <c r="C735" s="290"/>
      <c r="D735" s="290"/>
      <c r="E735" s="290"/>
      <c r="F735" s="290"/>
      <c r="G735" s="290"/>
      <c r="H735" s="290"/>
      <c r="I735" s="290"/>
      <c r="J735" s="290"/>
      <c r="K735" s="290"/>
      <c r="L735" s="290"/>
      <c r="M735" s="290"/>
      <c r="N735" s="290"/>
      <c r="O735" s="290"/>
    </row>
    <row r="736" ht="14.25" customHeight="1">
      <c r="B736" s="227"/>
      <c r="C736" s="290"/>
      <c r="D736" s="290"/>
      <c r="E736" s="290"/>
      <c r="F736" s="290"/>
      <c r="G736" s="290"/>
      <c r="H736" s="290"/>
      <c r="I736" s="290"/>
      <c r="J736" s="290"/>
      <c r="K736" s="290"/>
      <c r="L736" s="290"/>
      <c r="M736" s="290"/>
      <c r="N736" s="290"/>
      <c r="O736" s="290"/>
    </row>
    <row r="737" ht="14.25" customHeight="1">
      <c r="B737" s="227"/>
      <c r="C737" s="290"/>
      <c r="D737" s="290"/>
      <c r="E737" s="290"/>
      <c r="F737" s="290"/>
      <c r="G737" s="290"/>
      <c r="H737" s="290"/>
      <c r="I737" s="290"/>
      <c r="J737" s="290"/>
      <c r="K737" s="290"/>
      <c r="L737" s="290"/>
      <c r="M737" s="290"/>
      <c r="N737" s="290"/>
      <c r="O737" s="290"/>
    </row>
    <row r="738" ht="14.25" customHeight="1">
      <c r="B738" s="227"/>
      <c r="C738" s="290"/>
      <c r="D738" s="290"/>
      <c r="E738" s="290"/>
      <c r="F738" s="290"/>
      <c r="G738" s="290"/>
      <c r="H738" s="290"/>
      <c r="I738" s="290"/>
      <c r="J738" s="290"/>
      <c r="K738" s="290"/>
      <c r="L738" s="290"/>
      <c r="M738" s="290"/>
      <c r="N738" s="290"/>
      <c r="O738" s="290"/>
    </row>
    <row r="739" ht="14.25" customHeight="1">
      <c r="B739" s="227"/>
      <c r="C739" s="290"/>
      <c r="D739" s="290"/>
      <c r="E739" s="290"/>
      <c r="F739" s="290"/>
      <c r="G739" s="290"/>
      <c r="H739" s="290"/>
      <c r="I739" s="290"/>
      <c r="J739" s="290"/>
      <c r="K739" s="290"/>
      <c r="L739" s="290"/>
      <c r="M739" s="290"/>
      <c r="N739" s="290"/>
      <c r="O739" s="290"/>
    </row>
    <row r="740" ht="14.25" customHeight="1">
      <c r="B740" s="227"/>
      <c r="C740" s="290"/>
      <c r="D740" s="290"/>
      <c r="E740" s="290"/>
      <c r="F740" s="290"/>
      <c r="G740" s="290"/>
      <c r="H740" s="290"/>
      <c r="I740" s="290"/>
      <c r="J740" s="290"/>
      <c r="K740" s="290"/>
      <c r="L740" s="290"/>
      <c r="M740" s="290"/>
      <c r="N740" s="290"/>
      <c r="O740" s="290"/>
    </row>
    <row r="741" ht="14.25" customHeight="1">
      <c r="B741" s="227"/>
      <c r="C741" s="290"/>
      <c r="D741" s="290"/>
      <c r="E741" s="290"/>
      <c r="F741" s="290"/>
      <c r="G741" s="290"/>
      <c r="H741" s="290"/>
      <c r="I741" s="290"/>
      <c r="J741" s="290"/>
      <c r="K741" s="290"/>
      <c r="L741" s="290"/>
      <c r="M741" s="290"/>
      <c r="N741" s="290"/>
      <c r="O741" s="290"/>
    </row>
    <row r="742" ht="14.25" customHeight="1">
      <c r="B742" s="227"/>
      <c r="C742" s="290"/>
      <c r="D742" s="290"/>
      <c r="E742" s="290"/>
      <c r="F742" s="290"/>
      <c r="G742" s="290"/>
      <c r="H742" s="290"/>
      <c r="I742" s="290"/>
      <c r="J742" s="290"/>
      <c r="K742" s="290"/>
      <c r="L742" s="290"/>
      <c r="M742" s="290"/>
      <c r="N742" s="290"/>
      <c r="O742" s="290"/>
    </row>
    <row r="743" ht="14.25" customHeight="1">
      <c r="B743" s="227"/>
      <c r="C743" s="290"/>
      <c r="D743" s="290"/>
      <c r="E743" s="290"/>
      <c r="F743" s="290"/>
      <c r="G743" s="290"/>
      <c r="H743" s="290"/>
      <c r="I743" s="290"/>
      <c r="J743" s="290"/>
      <c r="K743" s="290"/>
      <c r="L743" s="290"/>
      <c r="M743" s="290"/>
      <c r="N743" s="290"/>
      <c r="O743" s="290"/>
    </row>
    <row r="744" ht="14.25" customHeight="1">
      <c r="B744" s="227"/>
      <c r="C744" s="290"/>
      <c r="D744" s="290"/>
      <c r="E744" s="290"/>
      <c r="F744" s="290"/>
      <c r="G744" s="290"/>
      <c r="H744" s="290"/>
      <c r="I744" s="290"/>
      <c r="J744" s="290"/>
      <c r="K744" s="290"/>
      <c r="L744" s="290"/>
      <c r="M744" s="290"/>
      <c r="N744" s="290"/>
      <c r="O744" s="290"/>
    </row>
    <row r="745" ht="14.25" customHeight="1">
      <c r="B745" s="227"/>
      <c r="C745" s="290"/>
      <c r="D745" s="290"/>
      <c r="E745" s="290"/>
      <c r="F745" s="290"/>
      <c r="G745" s="290"/>
      <c r="H745" s="290"/>
      <c r="I745" s="290"/>
      <c r="J745" s="290"/>
      <c r="K745" s="290"/>
      <c r="L745" s="290"/>
      <c r="M745" s="290"/>
      <c r="N745" s="290"/>
      <c r="O745" s="290"/>
    </row>
    <row r="746" ht="14.25" customHeight="1">
      <c r="B746" s="227"/>
      <c r="C746" s="290"/>
      <c r="D746" s="290"/>
      <c r="E746" s="290"/>
      <c r="F746" s="290"/>
      <c r="G746" s="290"/>
      <c r="H746" s="290"/>
      <c r="I746" s="290"/>
      <c r="J746" s="290"/>
      <c r="K746" s="290"/>
      <c r="L746" s="290"/>
      <c r="M746" s="290"/>
      <c r="N746" s="290"/>
      <c r="O746" s="290"/>
    </row>
    <row r="747" ht="14.25" customHeight="1">
      <c r="B747" s="227"/>
      <c r="C747" s="290"/>
      <c r="D747" s="290"/>
      <c r="E747" s="290"/>
      <c r="F747" s="290"/>
      <c r="G747" s="290"/>
      <c r="H747" s="290"/>
      <c r="I747" s="290"/>
      <c r="J747" s="290"/>
      <c r="K747" s="290"/>
      <c r="L747" s="290"/>
      <c r="M747" s="290"/>
      <c r="N747" s="290"/>
      <c r="O747" s="290"/>
    </row>
    <row r="748" ht="14.25" customHeight="1">
      <c r="B748" s="227"/>
      <c r="C748" s="290"/>
      <c r="D748" s="290"/>
      <c r="E748" s="290"/>
      <c r="F748" s="290"/>
      <c r="G748" s="290"/>
      <c r="H748" s="290"/>
      <c r="I748" s="290"/>
      <c r="J748" s="290"/>
      <c r="K748" s="290"/>
      <c r="L748" s="290"/>
      <c r="M748" s="290"/>
      <c r="N748" s="290"/>
      <c r="O748" s="290"/>
    </row>
    <row r="749" ht="14.25" customHeight="1">
      <c r="B749" s="227"/>
      <c r="C749" s="290"/>
      <c r="D749" s="290"/>
      <c r="E749" s="290"/>
      <c r="F749" s="290"/>
      <c r="G749" s="290"/>
      <c r="H749" s="290"/>
      <c r="I749" s="290"/>
      <c r="J749" s="290"/>
      <c r="K749" s="290"/>
      <c r="L749" s="290"/>
      <c r="M749" s="290"/>
      <c r="N749" s="290"/>
      <c r="O749" s="290"/>
    </row>
    <row r="750" ht="14.25" customHeight="1">
      <c r="B750" s="227"/>
      <c r="C750" s="290"/>
      <c r="D750" s="290"/>
      <c r="E750" s="290"/>
      <c r="F750" s="290"/>
      <c r="G750" s="290"/>
      <c r="H750" s="290"/>
      <c r="I750" s="290"/>
      <c r="J750" s="290"/>
      <c r="K750" s="290"/>
      <c r="L750" s="290"/>
      <c r="M750" s="290"/>
      <c r="N750" s="290"/>
      <c r="O750" s="290"/>
    </row>
    <row r="751" ht="14.25" customHeight="1">
      <c r="B751" s="227"/>
      <c r="C751" s="290"/>
      <c r="D751" s="290"/>
      <c r="E751" s="290"/>
      <c r="F751" s="290"/>
      <c r="G751" s="290"/>
      <c r="H751" s="290"/>
      <c r="I751" s="290"/>
      <c r="J751" s="290"/>
      <c r="K751" s="290"/>
      <c r="L751" s="290"/>
      <c r="M751" s="290"/>
      <c r="N751" s="290"/>
      <c r="O751" s="290"/>
    </row>
    <row r="752" ht="14.25" customHeight="1">
      <c r="B752" s="227"/>
      <c r="C752" s="290"/>
      <c r="D752" s="290"/>
      <c r="E752" s="290"/>
      <c r="F752" s="290"/>
      <c r="G752" s="290"/>
      <c r="H752" s="290"/>
      <c r="I752" s="290"/>
      <c r="J752" s="290"/>
      <c r="K752" s="290"/>
      <c r="L752" s="290"/>
      <c r="M752" s="290"/>
      <c r="N752" s="290"/>
      <c r="O752" s="290"/>
    </row>
    <row r="753" ht="14.25" customHeight="1">
      <c r="B753" s="227"/>
      <c r="C753" s="290"/>
      <c r="D753" s="290"/>
      <c r="E753" s="290"/>
      <c r="F753" s="290"/>
      <c r="G753" s="290"/>
      <c r="H753" s="290"/>
      <c r="I753" s="290"/>
      <c r="J753" s="290"/>
      <c r="K753" s="290"/>
      <c r="L753" s="290"/>
      <c r="M753" s="290"/>
      <c r="N753" s="290"/>
      <c r="O753" s="290"/>
    </row>
    <row r="754" ht="14.25" customHeight="1">
      <c r="B754" s="227"/>
      <c r="C754" s="290"/>
      <c r="D754" s="290"/>
      <c r="E754" s="290"/>
      <c r="F754" s="290"/>
      <c r="G754" s="290"/>
      <c r="H754" s="290"/>
      <c r="I754" s="290"/>
      <c r="J754" s="290"/>
      <c r="K754" s="290"/>
      <c r="L754" s="290"/>
      <c r="M754" s="290"/>
      <c r="N754" s="290"/>
      <c r="O754" s="290"/>
    </row>
    <row r="755" ht="14.25" customHeight="1">
      <c r="B755" s="227"/>
      <c r="C755" s="290"/>
      <c r="D755" s="290"/>
      <c r="E755" s="290"/>
      <c r="F755" s="290"/>
      <c r="G755" s="290"/>
      <c r="H755" s="290"/>
      <c r="I755" s="290"/>
      <c r="J755" s="290"/>
      <c r="K755" s="290"/>
      <c r="L755" s="290"/>
      <c r="M755" s="290"/>
      <c r="N755" s="290"/>
      <c r="O755" s="290"/>
    </row>
    <row r="756" ht="14.25" customHeight="1">
      <c r="B756" s="227"/>
      <c r="C756" s="290"/>
      <c r="D756" s="290"/>
      <c r="E756" s="290"/>
      <c r="F756" s="290"/>
      <c r="G756" s="290"/>
      <c r="H756" s="290"/>
      <c r="I756" s="290"/>
      <c r="J756" s="290"/>
      <c r="K756" s="290"/>
      <c r="L756" s="290"/>
      <c r="M756" s="290"/>
      <c r="N756" s="290"/>
      <c r="O756" s="290"/>
    </row>
    <row r="757" ht="14.25" customHeight="1">
      <c r="B757" s="227"/>
      <c r="C757" s="290"/>
      <c r="D757" s="290"/>
      <c r="E757" s="290"/>
      <c r="F757" s="290"/>
      <c r="G757" s="290"/>
      <c r="H757" s="290"/>
      <c r="I757" s="290"/>
      <c r="J757" s="290"/>
      <c r="K757" s="290"/>
      <c r="L757" s="290"/>
      <c r="M757" s="290"/>
      <c r="N757" s="290"/>
      <c r="O757" s="290"/>
    </row>
    <row r="758" ht="14.25" customHeight="1">
      <c r="B758" s="227"/>
      <c r="C758" s="290"/>
      <c r="D758" s="290"/>
      <c r="E758" s="290"/>
      <c r="F758" s="290"/>
      <c r="G758" s="290"/>
      <c r="H758" s="290"/>
      <c r="I758" s="290"/>
      <c r="J758" s="290"/>
      <c r="K758" s="290"/>
      <c r="L758" s="290"/>
      <c r="M758" s="290"/>
      <c r="N758" s="290"/>
      <c r="O758" s="290"/>
    </row>
    <row r="759" ht="14.25" customHeight="1">
      <c r="B759" s="227"/>
      <c r="C759" s="290"/>
      <c r="D759" s="290"/>
      <c r="E759" s="290"/>
      <c r="F759" s="290"/>
      <c r="G759" s="290"/>
      <c r="H759" s="290"/>
      <c r="I759" s="290"/>
      <c r="J759" s="290"/>
      <c r="K759" s="290"/>
      <c r="L759" s="290"/>
      <c r="M759" s="290"/>
      <c r="N759" s="290"/>
      <c r="O759" s="290"/>
    </row>
    <row r="760" ht="14.25" customHeight="1">
      <c r="B760" s="227"/>
      <c r="C760" s="290"/>
      <c r="D760" s="290"/>
      <c r="E760" s="290"/>
      <c r="F760" s="290"/>
      <c r="G760" s="290"/>
      <c r="H760" s="290"/>
      <c r="I760" s="290"/>
      <c r="J760" s="290"/>
      <c r="K760" s="290"/>
      <c r="L760" s="290"/>
      <c r="M760" s="290"/>
      <c r="N760" s="290"/>
      <c r="O760" s="290"/>
    </row>
    <row r="761" ht="14.25" customHeight="1">
      <c r="B761" s="227"/>
      <c r="C761" s="290"/>
      <c r="D761" s="290"/>
      <c r="E761" s="290"/>
      <c r="F761" s="290"/>
      <c r="G761" s="290"/>
      <c r="H761" s="290"/>
      <c r="I761" s="290"/>
      <c r="J761" s="290"/>
      <c r="K761" s="290"/>
      <c r="L761" s="290"/>
      <c r="M761" s="290"/>
      <c r="N761" s="290"/>
      <c r="O761" s="290"/>
    </row>
    <row r="762" ht="14.25" customHeight="1">
      <c r="B762" s="227"/>
      <c r="C762" s="290"/>
      <c r="D762" s="290"/>
      <c r="E762" s="290"/>
      <c r="F762" s="290"/>
      <c r="G762" s="290"/>
      <c r="H762" s="290"/>
      <c r="I762" s="290"/>
      <c r="J762" s="290"/>
      <c r="K762" s="290"/>
      <c r="L762" s="290"/>
      <c r="M762" s="290"/>
      <c r="N762" s="290"/>
      <c r="O762" s="290"/>
    </row>
    <row r="763" ht="14.25" customHeight="1">
      <c r="B763" s="227"/>
      <c r="C763" s="290"/>
      <c r="D763" s="290"/>
      <c r="E763" s="290"/>
      <c r="F763" s="290"/>
      <c r="G763" s="290"/>
      <c r="H763" s="290"/>
      <c r="I763" s="290"/>
      <c r="J763" s="290"/>
      <c r="K763" s="290"/>
      <c r="L763" s="290"/>
      <c r="M763" s="290"/>
      <c r="N763" s="290"/>
      <c r="O763" s="290"/>
    </row>
    <row r="764" ht="14.25" customHeight="1">
      <c r="B764" s="227"/>
      <c r="C764" s="290"/>
      <c r="D764" s="290"/>
      <c r="E764" s="290"/>
      <c r="F764" s="290"/>
      <c r="G764" s="290"/>
      <c r="H764" s="290"/>
      <c r="I764" s="290"/>
      <c r="J764" s="290"/>
      <c r="K764" s="290"/>
      <c r="L764" s="290"/>
      <c r="M764" s="290"/>
      <c r="N764" s="290"/>
      <c r="O764" s="290"/>
    </row>
    <row r="765" ht="14.25" customHeight="1">
      <c r="B765" s="227"/>
      <c r="C765" s="290"/>
      <c r="D765" s="290"/>
      <c r="E765" s="290"/>
      <c r="F765" s="290"/>
      <c r="G765" s="290"/>
      <c r="H765" s="290"/>
      <c r="I765" s="290"/>
      <c r="J765" s="290"/>
      <c r="K765" s="290"/>
      <c r="L765" s="290"/>
      <c r="M765" s="290"/>
      <c r="N765" s="290"/>
      <c r="O765" s="290"/>
    </row>
    <row r="766" ht="14.25" customHeight="1">
      <c r="B766" s="227"/>
      <c r="C766" s="290"/>
      <c r="D766" s="290"/>
      <c r="E766" s="290"/>
      <c r="F766" s="290"/>
      <c r="G766" s="290"/>
      <c r="H766" s="290"/>
      <c r="I766" s="290"/>
      <c r="J766" s="290"/>
      <c r="K766" s="290"/>
      <c r="L766" s="290"/>
      <c r="M766" s="290"/>
      <c r="N766" s="290"/>
      <c r="O766" s="290"/>
    </row>
    <row r="767" ht="14.25" customHeight="1">
      <c r="B767" s="227"/>
      <c r="C767" s="290"/>
      <c r="D767" s="290"/>
      <c r="E767" s="290"/>
      <c r="F767" s="290"/>
      <c r="G767" s="290"/>
      <c r="H767" s="290"/>
      <c r="I767" s="290"/>
      <c r="J767" s="290"/>
      <c r="K767" s="290"/>
      <c r="L767" s="290"/>
      <c r="M767" s="290"/>
      <c r="N767" s="290"/>
      <c r="O767" s="290"/>
    </row>
    <row r="768" ht="14.25" customHeight="1">
      <c r="B768" s="227"/>
      <c r="C768" s="290"/>
      <c r="D768" s="290"/>
      <c r="E768" s="290"/>
      <c r="F768" s="290"/>
      <c r="G768" s="290"/>
      <c r="H768" s="290"/>
      <c r="I768" s="290"/>
      <c r="J768" s="290"/>
      <c r="K768" s="290"/>
      <c r="L768" s="290"/>
      <c r="M768" s="290"/>
      <c r="N768" s="290"/>
      <c r="O768" s="290"/>
    </row>
    <row r="769" ht="14.25" customHeight="1">
      <c r="B769" s="227"/>
      <c r="C769" s="290"/>
      <c r="D769" s="290"/>
      <c r="E769" s="290"/>
      <c r="F769" s="290"/>
      <c r="G769" s="290"/>
      <c r="H769" s="290"/>
      <c r="I769" s="290"/>
      <c r="J769" s="290"/>
      <c r="K769" s="290"/>
      <c r="L769" s="290"/>
      <c r="M769" s="290"/>
      <c r="N769" s="290"/>
      <c r="O769" s="290"/>
    </row>
    <row r="770" ht="14.25" customHeight="1">
      <c r="B770" s="227"/>
      <c r="C770" s="290"/>
      <c r="D770" s="290"/>
      <c r="E770" s="290"/>
      <c r="F770" s="290"/>
      <c r="G770" s="290"/>
      <c r="H770" s="290"/>
      <c r="I770" s="290"/>
      <c r="J770" s="290"/>
      <c r="K770" s="290"/>
      <c r="L770" s="290"/>
      <c r="M770" s="290"/>
      <c r="N770" s="290"/>
      <c r="O770" s="290"/>
    </row>
    <row r="771" ht="14.25" customHeight="1">
      <c r="B771" s="227"/>
      <c r="C771" s="290"/>
      <c r="D771" s="290"/>
      <c r="E771" s="290"/>
      <c r="F771" s="290"/>
      <c r="G771" s="290"/>
      <c r="H771" s="290"/>
      <c r="I771" s="290"/>
      <c r="J771" s="290"/>
      <c r="K771" s="290"/>
      <c r="L771" s="290"/>
      <c r="M771" s="290"/>
      <c r="N771" s="290"/>
      <c r="O771" s="290"/>
    </row>
    <row r="772" ht="14.25" customHeight="1">
      <c r="B772" s="227"/>
      <c r="C772" s="290"/>
      <c r="D772" s="290"/>
      <c r="E772" s="290"/>
      <c r="F772" s="290"/>
      <c r="G772" s="290"/>
      <c r="H772" s="290"/>
      <c r="I772" s="290"/>
      <c r="J772" s="290"/>
      <c r="K772" s="290"/>
      <c r="L772" s="290"/>
      <c r="M772" s="290"/>
      <c r="N772" s="290"/>
      <c r="O772" s="290"/>
    </row>
    <row r="773" ht="14.25" customHeight="1">
      <c r="B773" s="227"/>
      <c r="C773" s="290"/>
      <c r="D773" s="290"/>
      <c r="E773" s="290"/>
      <c r="F773" s="290"/>
      <c r="G773" s="290"/>
      <c r="H773" s="290"/>
      <c r="I773" s="290"/>
      <c r="J773" s="290"/>
      <c r="K773" s="290"/>
      <c r="L773" s="290"/>
      <c r="M773" s="290"/>
      <c r="N773" s="290"/>
      <c r="O773" s="290"/>
    </row>
    <row r="774" ht="14.25" customHeight="1">
      <c r="B774" s="227"/>
      <c r="C774" s="290"/>
      <c r="D774" s="290"/>
      <c r="E774" s="290"/>
      <c r="F774" s="290"/>
      <c r="G774" s="290"/>
      <c r="H774" s="290"/>
      <c r="I774" s="290"/>
      <c r="J774" s="290"/>
      <c r="K774" s="290"/>
      <c r="L774" s="290"/>
      <c r="M774" s="290"/>
      <c r="N774" s="290"/>
      <c r="O774" s="290"/>
    </row>
    <row r="775" ht="14.25" customHeight="1">
      <c r="B775" s="227"/>
      <c r="C775" s="290"/>
      <c r="D775" s="290"/>
      <c r="E775" s="290"/>
      <c r="F775" s="290"/>
      <c r="G775" s="290"/>
      <c r="H775" s="290"/>
      <c r="I775" s="290"/>
      <c r="J775" s="290"/>
      <c r="K775" s="290"/>
      <c r="L775" s="290"/>
      <c r="M775" s="290"/>
      <c r="N775" s="290"/>
      <c r="O775" s="290"/>
    </row>
    <row r="776" ht="14.25" customHeight="1">
      <c r="B776" s="227"/>
      <c r="C776" s="290"/>
      <c r="D776" s="290"/>
      <c r="E776" s="290"/>
      <c r="F776" s="290"/>
      <c r="G776" s="290"/>
      <c r="H776" s="290"/>
      <c r="I776" s="290"/>
      <c r="J776" s="290"/>
      <c r="K776" s="290"/>
      <c r="L776" s="290"/>
      <c r="M776" s="290"/>
      <c r="N776" s="290"/>
      <c r="O776" s="290"/>
    </row>
    <row r="777" ht="14.25" customHeight="1">
      <c r="B777" s="227"/>
      <c r="C777" s="290"/>
      <c r="D777" s="290"/>
      <c r="E777" s="290"/>
      <c r="F777" s="290"/>
      <c r="G777" s="290"/>
      <c r="H777" s="290"/>
      <c r="I777" s="290"/>
      <c r="J777" s="290"/>
      <c r="K777" s="290"/>
      <c r="L777" s="290"/>
      <c r="M777" s="290"/>
      <c r="N777" s="290"/>
      <c r="O777" s="290"/>
    </row>
    <row r="778" ht="14.25" customHeight="1">
      <c r="B778" s="227"/>
      <c r="C778" s="290"/>
      <c r="D778" s="290"/>
      <c r="E778" s="290"/>
      <c r="F778" s="290"/>
      <c r="G778" s="290"/>
      <c r="H778" s="290"/>
      <c r="I778" s="290"/>
      <c r="J778" s="290"/>
      <c r="K778" s="290"/>
      <c r="L778" s="290"/>
      <c r="M778" s="290"/>
      <c r="N778" s="290"/>
      <c r="O778" s="290"/>
    </row>
    <row r="779" ht="14.25" customHeight="1">
      <c r="B779" s="227"/>
      <c r="C779" s="290"/>
      <c r="D779" s="290"/>
      <c r="E779" s="290"/>
      <c r="F779" s="290"/>
      <c r="G779" s="290"/>
      <c r="H779" s="290"/>
      <c r="I779" s="290"/>
      <c r="J779" s="290"/>
      <c r="K779" s="290"/>
      <c r="L779" s="290"/>
      <c r="M779" s="290"/>
      <c r="N779" s="290"/>
      <c r="O779" s="290"/>
    </row>
    <row r="780" ht="14.25" customHeight="1">
      <c r="B780" s="227"/>
      <c r="C780" s="290"/>
      <c r="D780" s="290"/>
      <c r="E780" s="290"/>
      <c r="F780" s="290"/>
      <c r="G780" s="290"/>
      <c r="H780" s="290"/>
      <c r="I780" s="290"/>
      <c r="J780" s="290"/>
      <c r="K780" s="290"/>
      <c r="L780" s="290"/>
      <c r="M780" s="290"/>
      <c r="N780" s="290"/>
      <c r="O780" s="290"/>
    </row>
    <row r="781" ht="14.25" customHeight="1">
      <c r="B781" s="227"/>
      <c r="C781" s="290"/>
      <c r="D781" s="290"/>
      <c r="E781" s="290"/>
      <c r="F781" s="290"/>
      <c r="G781" s="290"/>
      <c r="H781" s="290"/>
      <c r="I781" s="290"/>
      <c r="J781" s="290"/>
      <c r="K781" s="290"/>
      <c r="L781" s="290"/>
      <c r="M781" s="290"/>
      <c r="N781" s="290"/>
      <c r="O781" s="290"/>
    </row>
    <row r="782" ht="14.25" customHeight="1">
      <c r="B782" s="227"/>
      <c r="C782" s="290"/>
      <c r="D782" s="290"/>
      <c r="E782" s="290"/>
      <c r="F782" s="290"/>
      <c r="G782" s="290"/>
      <c r="H782" s="290"/>
      <c r="I782" s="290"/>
      <c r="J782" s="290"/>
      <c r="K782" s="290"/>
      <c r="L782" s="290"/>
      <c r="M782" s="290"/>
      <c r="N782" s="290"/>
      <c r="O782" s="290"/>
    </row>
    <row r="783" ht="14.25" customHeight="1">
      <c r="B783" s="227"/>
      <c r="C783" s="290"/>
      <c r="D783" s="290"/>
      <c r="E783" s="290"/>
      <c r="F783" s="290"/>
      <c r="G783" s="290"/>
      <c r="H783" s="290"/>
      <c r="I783" s="290"/>
      <c r="J783" s="290"/>
      <c r="K783" s="290"/>
      <c r="L783" s="290"/>
      <c r="M783" s="290"/>
      <c r="N783" s="290"/>
      <c r="O783" s="290"/>
    </row>
    <row r="784" ht="14.25" customHeight="1">
      <c r="B784" s="227"/>
      <c r="C784" s="290"/>
      <c r="D784" s="290"/>
      <c r="E784" s="290"/>
      <c r="F784" s="290"/>
      <c r="G784" s="290"/>
      <c r="H784" s="290"/>
      <c r="I784" s="290"/>
      <c r="J784" s="290"/>
      <c r="K784" s="290"/>
      <c r="L784" s="290"/>
      <c r="M784" s="290"/>
      <c r="N784" s="290"/>
      <c r="O784" s="290"/>
    </row>
    <row r="785" ht="14.25" customHeight="1">
      <c r="B785" s="227"/>
      <c r="C785" s="290"/>
      <c r="D785" s="290"/>
      <c r="E785" s="290"/>
      <c r="F785" s="290"/>
      <c r="G785" s="290"/>
      <c r="H785" s="290"/>
      <c r="I785" s="290"/>
      <c r="J785" s="290"/>
      <c r="K785" s="290"/>
      <c r="L785" s="290"/>
      <c r="M785" s="290"/>
      <c r="N785" s="290"/>
      <c r="O785" s="290"/>
    </row>
    <row r="786" ht="14.25" customHeight="1">
      <c r="B786" s="227"/>
      <c r="C786" s="290"/>
      <c r="D786" s="290"/>
      <c r="E786" s="290"/>
      <c r="F786" s="290"/>
      <c r="G786" s="290"/>
      <c r="H786" s="290"/>
      <c r="I786" s="290"/>
      <c r="J786" s="290"/>
      <c r="K786" s="290"/>
      <c r="L786" s="290"/>
      <c r="M786" s="290"/>
      <c r="N786" s="290"/>
      <c r="O786" s="290"/>
    </row>
    <row r="787" ht="14.25" customHeight="1">
      <c r="B787" s="227"/>
      <c r="C787" s="290"/>
      <c r="D787" s="290"/>
      <c r="E787" s="290"/>
      <c r="F787" s="290"/>
      <c r="G787" s="290"/>
      <c r="H787" s="290"/>
      <c r="I787" s="290"/>
      <c r="J787" s="290"/>
      <c r="K787" s="290"/>
      <c r="L787" s="290"/>
      <c r="M787" s="290"/>
      <c r="N787" s="290"/>
      <c r="O787" s="290"/>
    </row>
    <row r="788" ht="14.25" customHeight="1">
      <c r="B788" s="227"/>
      <c r="C788" s="290"/>
      <c r="D788" s="290"/>
      <c r="E788" s="290"/>
      <c r="F788" s="290"/>
      <c r="G788" s="290"/>
      <c r="H788" s="290"/>
      <c r="I788" s="290"/>
      <c r="J788" s="290"/>
      <c r="K788" s="290"/>
      <c r="L788" s="290"/>
      <c r="M788" s="290"/>
      <c r="N788" s="290"/>
      <c r="O788" s="290"/>
    </row>
    <row r="789" ht="14.25" customHeight="1">
      <c r="B789" s="227"/>
      <c r="C789" s="290"/>
      <c r="D789" s="290"/>
      <c r="E789" s="290"/>
      <c r="F789" s="290"/>
      <c r="G789" s="290"/>
      <c r="H789" s="290"/>
      <c r="I789" s="290"/>
      <c r="J789" s="290"/>
      <c r="K789" s="290"/>
      <c r="L789" s="290"/>
      <c r="M789" s="290"/>
      <c r="N789" s="290"/>
      <c r="O789" s="290"/>
    </row>
    <row r="790" ht="14.25" customHeight="1">
      <c r="B790" s="227"/>
      <c r="C790" s="290"/>
      <c r="D790" s="290"/>
      <c r="E790" s="290"/>
      <c r="F790" s="290"/>
      <c r="G790" s="290"/>
      <c r="H790" s="290"/>
      <c r="I790" s="290"/>
      <c r="J790" s="290"/>
      <c r="K790" s="290"/>
      <c r="L790" s="290"/>
      <c r="M790" s="290"/>
      <c r="N790" s="290"/>
      <c r="O790" s="290"/>
    </row>
    <row r="791" ht="14.25" customHeight="1">
      <c r="B791" s="227"/>
      <c r="C791" s="290"/>
      <c r="D791" s="290"/>
      <c r="E791" s="290"/>
      <c r="F791" s="290"/>
      <c r="G791" s="290"/>
      <c r="H791" s="290"/>
      <c r="I791" s="290"/>
      <c r="J791" s="290"/>
      <c r="K791" s="290"/>
      <c r="L791" s="290"/>
      <c r="M791" s="290"/>
      <c r="N791" s="290"/>
      <c r="O791" s="290"/>
    </row>
    <row r="792" ht="14.25" customHeight="1">
      <c r="B792" s="227"/>
      <c r="C792" s="290"/>
      <c r="D792" s="290"/>
      <c r="E792" s="290"/>
      <c r="F792" s="290"/>
      <c r="G792" s="290"/>
      <c r="H792" s="290"/>
      <c r="I792" s="290"/>
      <c r="J792" s="290"/>
      <c r="K792" s="290"/>
      <c r="L792" s="290"/>
      <c r="M792" s="290"/>
      <c r="N792" s="290"/>
      <c r="O792" s="290"/>
    </row>
    <row r="793" ht="14.25" customHeight="1">
      <c r="B793" s="227"/>
      <c r="C793" s="290"/>
      <c r="D793" s="290"/>
      <c r="E793" s="290"/>
      <c r="F793" s="290"/>
      <c r="G793" s="290"/>
      <c r="H793" s="290"/>
      <c r="I793" s="290"/>
      <c r="J793" s="290"/>
      <c r="K793" s="290"/>
      <c r="L793" s="290"/>
      <c r="M793" s="290"/>
      <c r="N793" s="290"/>
      <c r="O793" s="290"/>
    </row>
    <row r="794" ht="14.25" customHeight="1">
      <c r="B794" s="227"/>
      <c r="C794" s="290"/>
      <c r="D794" s="290"/>
      <c r="E794" s="290"/>
      <c r="F794" s="290"/>
      <c r="G794" s="290"/>
      <c r="H794" s="290"/>
      <c r="I794" s="290"/>
      <c r="J794" s="290"/>
      <c r="K794" s="290"/>
      <c r="L794" s="290"/>
      <c r="M794" s="290"/>
      <c r="N794" s="290"/>
      <c r="O794" s="290"/>
    </row>
    <row r="795" ht="14.25" customHeight="1">
      <c r="B795" s="227"/>
      <c r="C795" s="290"/>
      <c r="D795" s="290"/>
      <c r="E795" s="290"/>
      <c r="F795" s="290"/>
      <c r="G795" s="290"/>
      <c r="H795" s="290"/>
      <c r="I795" s="290"/>
      <c r="J795" s="290"/>
      <c r="K795" s="290"/>
      <c r="L795" s="290"/>
      <c r="M795" s="290"/>
      <c r="N795" s="290"/>
      <c r="O795" s="290"/>
    </row>
    <row r="796" ht="14.25" customHeight="1">
      <c r="B796" s="227"/>
      <c r="C796" s="290"/>
      <c r="D796" s="290"/>
      <c r="E796" s="290"/>
      <c r="F796" s="290"/>
      <c r="G796" s="290"/>
      <c r="H796" s="290"/>
      <c r="I796" s="290"/>
      <c r="J796" s="290"/>
      <c r="K796" s="290"/>
      <c r="L796" s="290"/>
      <c r="M796" s="290"/>
      <c r="N796" s="290"/>
      <c r="O796" s="290"/>
    </row>
    <row r="797" ht="14.25" customHeight="1">
      <c r="B797" s="227"/>
      <c r="C797" s="290"/>
      <c r="D797" s="290"/>
      <c r="E797" s="290"/>
      <c r="F797" s="290"/>
      <c r="G797" s="290"/>
      <c r="H797" s="290"/>
      <c r="I797" s="290"/>
      <c r="J797" s="290"/>
      <c r="K797" s="290"/>
      <c r="L797" s="290"/>
      <c r="M797" s="290"/>
      <c r="N797" s="290"/>
      <c r="O797" s="290"/>
    </row>
    <row r="798" ht="14.25" customHeight="1">
      <c r="B798" s="227"/>
      <c r="C798" s="290"/>
      <c r="D798" s="290"/>
      <c r="E798" s="290"/>
      <c r="F798" s="290"/>
      <c r="G798" s="290"/>
      <c r="H798" s="290"/>
      <c r="I798" s="290"/>
      <c r="J798" s="290"/>
      <c r="K798" s="290"/>
      <c r="L798" s="290"/>
      <c r="M798" s="290"/>
      <c r="N798" s="290"/>
      <c r="O798" s="290"/>
    </row>
    <row r="799" ht="14.25" customHeight="1">
      <c r="B799" s="227"/>
      <c r="C799" s="290"/>
      <c r="D799" s="290"/>
      <c r="E799" s="290"/>
      <c r="F799" s="290"/>
      <c r="G799" s="290"/>
      <c r="H799" s="290"/>
      <c r="I799" s="290"/>
      <c r="J799" s="290"/>
      <c r="K799" s="290"/>
      <c r="L799" s="290"/>
      <c r="M799" s="290"/>
      <c r="N799" s="290"/>
      <c r="O799" s="290"/>
    </row>
    <row r="800" ht="14.25" customHeight="1">
      <c r="B800" s="227"/>
      <c r="C800" s="290"/>
      <c r="D800" s="290"/>
      <c r="E800" s="290"/>
      <c r="F800" s="290"/>
      <c r="G800" s="290"/>
      <c r="H800" s="290"/>
      <c r="I800" s="290"/>
      <c r="J800" s="290"/>
      <c r="K800" s="290"/>
      <c r="L800" s="290"/>
      <c r="M800" s="290"/>
      <c r="N800" s="290"/>
      <c r="O800" s="290"/>
    </row>
    <row r="801" ht="14.25" customHeight="1">
      <c r="B801" s="227"/>
      <c r="C801" s="290"/>
      <c r="D801" s="290"/>
      <c r="E801" s="290"/>
      <c r="F801" s="290"/>
      <c r="G801" s="290"/>
      <c r="H801" s="290"/>
      <c r="I801" s="290"/>
      <c r="J801" s="290"/>
      <c r="K801" s="290"/>
      <c r="L801" s="290"/>
      <c r="M801" s="290"/>
      <c r="N801" s="290"/>
      <c r="O801" s="290"/>
    </row>
    <row r="802" ht="14.25" customHeight="1">
      <c r="B802" s="227"/>
      <c r="C802" s="290"/>
      <c r="D802" s="290"/>
      <c r="E802" s="290"/>
      <c r="F802" s="290"/>
      <c r="G802" s="290"/>
      <c r="H802" s="290"/>
      <c r="I802" s="290"/>
      <c r="J802" s="290"/>
      <c r="K802" s="290"/>
      <c r="L802" s="290"/>
      <c r="M802" s="290"/>
      <c r="N802" s="290"/>
      <c r="O802" s="290"/>
    </row>
    <row r="803" ht="14.25" customHeight="1">
      <c r="B803" s="227"/>
      <c r="C803" s="290"/>
      <c r="D803" s="290"/>
      <c r="E803" s="290"/>
      <c r="F803" s="290"/>
      <c r="G803" s="290"/>
      <c r="H803" s="290"/>
      <c r="I803" s="290"/>
      <c r="J803" s="290"/>
      <c r="K803" s="290"/>
      <c r="L803" s="290"/>
      <c r="M803" s="290"/>
      <c r="N803" s="290"/>
      <c r="O803" s="290"/>
    </row>
    <row r="804" ht="14.25" customHeight="1">
      <c r="B804" s="227"/>
      <c r="C804" s="290"/>
      <c r="D804" s="290"/>
      <c r="E804" s="290"/>
      <c r="F804" s="290"/>
      <c r="G804" s="290"/>
      <c r="H804" s="290"/>
      <c r="I804" s="290"/>
      <c r="J804" s="290"/>
      <c r="K804" s="290"/>
      <c r="L804" s="290"/>
      <c r="M804" s="290"/>
      <c r="N804" s="290"/>
      <c r="O804" s="290"/>
    </row>
    <row r="805" ht="14.25" customHeight="1">
      <c r="B805" s="227"/>
      <c r="C805" s="290"/>
      <c r="D805" s="290"/>
      <c r="E805" s="290"/>
      <c r="F805" s="290"/>
      <c r="G805" s="290"/>
      <c r="H805" s="290"/>
      <c r="I805" s="290"/>
      <c r="J805" s="290"/>
      <c r="K805" s="290"/>
      <c r="L805" s="290"/>
      <c r="M805" s="290"/>
      <c r="N805" s="290"/>
      <c r="O805" s="290"/>
    </row>
    <row r="806" ht="14.25" customHeight="1">
      <c r="B806" s="227"/>
      <c r="C806" s="290"/>
      <c r="D806" s="290"/>
      <c r="E806" s="290"/>
      <c r="F806" s="290"/>
      <c r="G806" s="290"/>
      <c r="H806" s="290"/>
      <c r="I806" s="290"/>
      <c r="J806" s="290"/>
      <c r="K806" s="290"/>
      <c r="L806" s="290"/>
      <c r="M806" s="290"/>
      <c r="N806" s="290"/>
      <c r="O806" s="290"/>
    </row>
    <row r="807" ht="14.25" customHeight="1">
      <c r="B807" s="227"/>
      <c r="C807" s="290"/>
      <c r="D807" s="290"/>
      <c r="E807" s="290"/>
      <c r="F807" s="290"/>
      <c r="G807" s="290"/>
      <c r="H807" s="290"/>
      <c r="I807" s="290"/>
      <c r="J807" s="290"/>
      <c r="K807" s="290"/>
      <c r="L807" s="290"/>
      <c r="M807" s="290"/>
      <c r="N807" s="290"/>
      <c r="O807" s="290"/>
    </row>
    <row r="808" ht="14.25" customHeight="1">
      <c r="B808" s="227"/>
      <c r="C808" s="290"/>
      <c r="D808" s="290"/>
      <c r="E808" s="290"/>
      <c r="F808" s="290"/>
      <c r="G808" s="290"/>
      <c r="H808" s="290"/>
      <c r="I808" s="290"/>
      <c r="J808" s="290"/>
      <c r="K808" s="290"/>
      <c r="L808" s="290"/>
      <c r="M808" s="290"/>
      <c r="N808" s="290"/>
      <c r="O808" s="290"/>
    </row>
    <row r="809" ht="14.25" customHeight="1">
      <c r="B809" s="227"/>
      <c r="C809" s="290"/>
      <c r="D809" s="290"/>
      <c r="E809" s="290"/>
      <c r="F809" s="290"/>
      <c r="G809" s="290"/>
      <c r="H809" s="290"/>
      <c r="I809" s="290"/>
      <c r="J809" s="290"/>
      <c r="K809" s="290"/>
      <c r="L809" s="290"/>
      <c r="M809" s="290"/>
      <c r="N809" s="290"/>
      <c r="O809" s="290"/>
    </row>
    <row r="810" ht="14.25" customHeight="1">
      <c r="B810" s="227"/>
      <c r="C810" s="290"/>
      <c r="D810" s="290"/>
      <c r="E810" s="290"/>
      <c r="F810" s="290"/>
      <c r="G810" s="290"/>
      <c r="H810" s="290"/>
      <c r="I810" s="290"/>
      <c r="J810" s="290"/>
      <c r="K810" s="290"/>
      <c r="L810" s="290"/>
      <c r="M810" s="290"/>
      <c r="N810" s="290"/>
      <c r="O810" s="290"/>
    </row>
    <row r="811" ht="14.25" customHeight="1">
      <c r="B811" s="227"/>
      <c r="C811" s="290"/>
      <c r="D811" s="290"/>
      <c r="E811" s="290"/>
      <c r="F811" s="290"/>
      <c r="G811" s="290"/>
      <c r="H811" s="290"/>
      <c r="I811" s="290"/>
      <c r="J811" s="290"/>
      <c r="K811" s="290"/>
      <c r="L811" s="290"/>
      <c r="M811" s="290"/>
      <c r="N811" s="290"/>
      <c r="O811" s="290"/>
    </row>
    <row r="812" ht="14.25" customHeight="1">
      <c r="B812" s="227"/>
      <c r="C812" s="290"/>
      <c r="D812" s="290"/>
      <c r="E812" s="290"/>
      <c r="F812" s="290"/>
      <c r="G812" s="290"/>
      <c r="H812" s="290"/>
      <c r="I812" s="290"/>
      <c r="J812" s="290"/>
      <c r="K812" s="290"/>
      <c r="L812" s="290"/>
      <c r="M812" s="290"/>
      <c r="N812" s="290"/>
      <c r="O812" s="290"/>
    </row>
    <row r="813" ht="14.25" customHeight="1">
      <c r="B813" s="227"/>
      <c r="C813" s="290"/>
      <c r="D813" s="290"/>
      <c r="E813" s="290"/>
      <c r="F813" s="290"/>
      <c r="G813" s="290"/>
      <c r="H813" s="290"/>
      <c r="I813" s="290"/>
      <c r="J813" s="290"/>
      <c r="K813" s="290"/>
      <c r="L813" s="290"/>
      <c r="M813" s="290"/>
      <c r="N813" s="290"/>
      <c r="O813" s="290"/>
    </row>
    <row r="814" ht="14.25" customHeight="1">
      <c r="B814" s="227"/>
      <c r="C814" s="290"/>
      <c r="D814" s="290"/>
      <c r="E814" s="290"/>
      <c r="F814" s="290"/>
      <c r="G814" s="290"/>
      <c r="H814" s="290"/>
      <c r="I814" s="290"/>
      <c r="J814" s="290"/>
      <c r="K814" s="290"/>
      <c r="L814" s="290"/>
      <c r="M814" s="290"/>
      <c r="N814" s="290"/>
      <c r="O814" s="290"/>
    </row>
    <row r="815" ht="14.25" customHeight="1">
      <c r="B815" s="227"/>
      <c r="C815" s="290"/>
      <c r="D815" s="290"/>
      <c r="E815" s="290"/>
      <c r="F815" s="290"/>
      <c r="G815" s="290"/>
      <c r="H815" s="290"/>
      <c r="I815" s="290"/>
      <c r="J815" s="290"/>
      <c r="K815" s="290"/>
      <c r="L815" s="290"/>
      <c r="M815" s="290"/>
      <c r="N815" s="290"/>
      <c r="O815" s="290"/>
    </row>
    <row r="816" ht="14.25" customHeight="1">
      <c r="B816" s="227"/>
      <c r="C816" s="290"/>
      <c r="D816" s="290"/>
      <c r="E816" s="290"/>
      <c r="F816" s="290"/>
      <c r="G816" s="290"/>
      <c r="H816" s="290"/>
      <c r="I816" s="290"/>
      <c r="J816" s="290"/>
      <c r="K816" s="290"/>
      <c r="L816" s="290"/>
      <c r="M816" s="290"/>
      <c r="N816" s="290"/>
      <c r="O816" s="290"/>
    </row>
    <row r="817" ht="14.25" customHeight="1">
      <c r="B817" s="227"/>
      <c r="C817" s="290"/>
      <c r="D817" s="290"/>
      <c r="E817" s="290"/>
      <c r="F817" s="290"/>
      <c r="G817" s="290"/>
      <c r="H817" s="290"/>
      <c r="I817" s="290"/>
      <c r="J817" s="290"/>
      <c r="K817" s="290"/>
      <c r="L817" s="290"/>
      <c r="M817" s="290"/>
      <c r="N817" s="290"/>
      <c r="O817" s="290"/>
    </row>
    <row r="818" ht="14.25" customHeight="1">
      <c r="B818" s="227"/>
      <c r="C818" s="290"/>
      <c r="D818" s="290"/>
      <c r="E818" s="290"/>
      <c r="F818" s="290"/>
      <c r="G818" s="290"/>
      <c r="H818" s="290"/>
      <c r="I818" s="290"/>
      <c r="J818" s="290"/>
      <c r="K818" s="290"/>
      <c r="L818" s="290"/>
      <c r="M818" s="290"/>
      <c r="N818" s="290"/>
      <c r="O818" s="290"/>
    </row>
    <row r="819" ht="14.25" customHeight="1">
      <c r="B819" s="227"/>
      <c r="C819" s="290"/>
      <c r="D819" s="290"/>
      <c r="E819" s="290"/>
      <c r="F819" s="290"/>
      <c r="G819" s="290"/>
      <c r="H819" s="290"/>
      <c r="I819" s="290"/>
      <c r="J819" s="290"/>
      <c r="K819" s="290"/>
      <c r="L819" s="290"/>
      <c r="M819" s="290"/>
      <c r="N819" s="290"/>
      <c r="O819" s="290"/>
    </row>
    <row r="820" ht="14.25" customHeight="1">
      <c r="B820" s="227"/>
      <c r="C820" s="290"/>
      <c r="D820" s="290"/>
      <c r="E820" s="290"/>
      <c r="F820" s="290"/>
      <c r="G820" s="290"/>
      <c r="H820" s="290"/>
      <c r="I820" s="290"/>
      <c r="J820" s="290"/>
      <c r="K820" s="290"/>
      <c r="L820" s="290"/>
      <c r="M820" s="290"/>
      <c r="N820" s="290"/>
      <c r="O820" s="290"/>
    </row>
    <row r="821" ht="14.25" customHeight="1">
      <c r="B821" s="227"/>
      <c r="C821" s="290"/>
      <c r="D821" s="290"/>
      <c r="E821" s="290"/>
      <c r="F821" s="290"/>
      <c r="G821" s="290"/>
      <c r="H821" s="290"/>
      <c r="I821" s="290"/>
      <c r="J821" s="290"/>
      <c r="K821" s="290"/>
      <c r="L821" s="290"/>
      <c r="M821" s="290"/>
      <c r="N821" s="290"/>
      <c r="O821" s="290"/>
    </row>
    <row r="822" ht="14.25" customHeight="1">
      <c r="B822" s="227"/>
      <c r="C822" s="290"/>
      <c r="D822" s="290"/>
      <c r="E822" s="290"/>
      <c r="F822" s="290"/>
      <c r="G822" s="290"/>
      <c r="H822" s="290"/>
      <c r="I822" s="290"/>
      <c r="J822" s="290"/>
      <c r="K822" s="290"/>
      <c r="L822" s="290"/>
      <c r="M822" s="290"/>
      <c r="N822" s="290"/>
      <c r="O822" s="290"/>
    </row>
    <row r="823" ht="14.25" customHeight="1">
      <c r="B823" s="227"/>
      <c r="C823" s="290"/>
      <c r="D823" s="290"/>
      <c r="E823" s="290"/>
      <c r="F823" s="290"/>
      <c r="G823" s="290"/>
      <c r="H823" s="290"/>
      <c r="I823" s="290"/>
      <c r="J823" s="290"/>
      <c r="K823" s="290"/>
      <c r="L823" s="290"/>
      <c r="M823" s="290"/>
      <c r="N823" s="290"/>
      <c r="O823" s="290"/>
    </row>
    <row r="824" ht="14.25" customHeight="1">
      <c r="B824" s="227"/>
      <c r="C824" s="290"/>
      <c r="D824" s="290"/>
      <c r="E824" s="290"/>
      <c r="F824" s="290"/>
      <c r="G824" s="290"/>
      <c r="H824" s="290"/>
      <c r="I824" s="290"/>
      <c r="J824" s="290"/>
      <c r="K824" s="290"/>
      <c r="L824" s="290"/>
      <c r="M824" s="290"/>
      <c r="N824" s="290"/>
      <c r="O824" s="290"/>
    </row>
    <row r="825" ht="14.25" customHeight="1">
      <c r="B825" s="227"/>
      <c r="C825" s="290"/>
      <c r="D825" s="290"/>
      <c r="E825" s="290"/>
      <c r="F825" s="290"/>
      <c r="G825" s="290"/>
      <c r="H825" s="290"/>
      <c r="I825" s="290"/>
      <c r="J825" s="290"/>
      <c r="K825" s="290"/>
      <c r="L825" s="290"/>
      <c r="M825" s="290"/>
      <c r="N825" s="290"/>
      <c r="O825" s="290"/>
    </row>
    <row r="826" ht="14.25" customHeight="1">
      <c r="B826" s="227"/>
      <c r="C826" s="290"/>
      <c r="D826" s="290"/>
      <c r="E826" s="290"/>
      <c r="F826" s="290"/>
      <c r="G826" s="290"/>
      <c r="H826" s="290"/>
      <c r="I826" s="290"/>
      <c r="J826" s="290"/>
      <c r="K826" s="290"/>
      <c r="L826" s="290"/>
      <c r="M826" s="290"/>
      <c r="N826" s="290"/>
      <c r="O826" s="290"/>
    </row>
    <row r="827" ht="14.25" customHeight="1">
      <c r="B827" s="227"/>
      <c r="C827" s="290"/>
      <c r="D827" s="290"/>
      <c r="E827" s="290"/>
      <c r="F827" s="290"/>
      <c r="G827" s="290"/>
      <c r="H827" s="290"/>
      <c r="I827" s="290"/>
      <c r="J827" s="290"/>
      <c r="K827" s="290"/>
      <c r="L827" s="290"/>
      <c r="M827" s="290"/>
      <c r="N827" s="290"/>
      <c r="O827" s="290"/>
    </row>
    <row r="828" ht="14.25" customHeight="1">
      <c r="B828" s="227"/>
      <c r="C828" s="290"/>
      <c r="D828" s="290"/>
      <c r="E828" s="290"/>
      <c r="F828" s="290"/>
      <c r="G828" s="290"/>
      <c r="H828" s="290"/>
      <c r="I828" s="290"/>
      <c r="J828" s="290"/>
      <c r="K828" s="290"/>
      <c r="L828" s="290"/>
      <c r="M828" s="290"/>
      <c r="N828" s="290"/>
      <c r="O828" s="290"/>
    </row>
    <row r="829" ht="14.25" customHeight="1">
      <c r="B829" s="227"/>
      <c r="C829" s="290"/>
      <c r="D829" s="290"/>
      <c r="E829" s="290"/>
      <c r="F829" s="290"/>
      <c r="G829" s="290"/>
      <c r="H829" s="290"/>
      <c r="I829" s="290"/>
      <c r="J829" s="290"/>
      <c r="K829" s="290"/>
      <c r="L829" s="290"/>
      <c r="M829" s="290"/>
      <c r="N829" s="290"/>
      <c r="O829" s="290"/>
    </row>
    <row r="830" ht="14.25" customHeight="1">
      <c r="B830" s="227"/>
      <c r="C830" s="290"/>
      <c r="D830" s="290"/>
      <c r="E830" s="290"/>
      <c r="F830" s="290"/>
      <c r="G830" s="290"/>
      <c r="H830" s="290"/>
      <c r="I830" s="290"/>
      <c r="J830" s="290"/>
      <c r="K830" s="290"/>
      <c r="L830" s="290"/>
      <c r="M830" s="290"/>
      <c r="N830" s="290"/>
      <c r="O830" s="290"/>
    </row>
    <row r="831" ht="14.25" customHeight="1">
      <c r="B831" s="227"/>
      <c r="C831" s="290"/>
      <c r="D831" s="290"/>
      <c r="E831" s="290"/>
      <c r="F831" s="290"/>
      <c r="G831" s="290"/>
      <c r="H831" s="290"/>
      <c r="I831" s="290"/>
      <c r="J831" s="290"/>
      <c r="K831" s="290"/>
      <c r="L831" s="290"/>
      <c r="M831" s="290"/>
      <c r="N831" s="290"/>
      <c r="O831" s="290"/>
    </row>
    <row r="832" ht="14.25" customHeight="1">
      <c r="B832" s="227"/>
      <c r="C832" s="290"/>
      <c r="D832" s="290"/>
      <c r="E832" s="290"/>
      <c r="F832" s="290"/>
      <c r="G832" s="290"/>
      <c r="H832" s="290"/>
      <c r="I832" s="290"/>
      <c r="J832" s="290"/>
      <c r="K832" s="290"/>
      <c r="L832" s="290"/>
      <c r="M832" s="290"/>
      <c r="N832" s="290"/>
      <c r="O832" s="290"/>
    </row>
    <row r="833" ht="14.25" customHeight="1">
      <c r="B833" s="227"/>
      <c r="C833" s="290"/>
      <c r="D833" s="290"/>
      <c r="E833" s="290"/>
      <c r="F833" s="290"/>
      <c r="G833" s="290"/>
      <c r="H833" s="290"/>
      <c r="I833" s="290"/>
      <c r="J833" s="290"/>
      <c r="K833" s="290"/>
      <c r="L833" s="290"/>
      <c r="M833" s="290"/>
      <c r="N833" s="290"/>
      <c r="O833" s="290"/>
    </row>
    <row r="834" ht="14.25" customHeight="1">
      <c r="B834" s="227"/>
      <c r="C834" s="290"/>
      <c r="D834" s="290"/>
      <c r="E834" s="290"/>
      <c r="F834" s="290"/>
      <c r="G834" s="290"/>
      <c r="H834" s="290"/>
      <c r="I834" s="290"/>
      <c r="J834" s="290"/>
      <c r="K834" s="290"/>
      <c r="L834" s="290"/>
      <c r="M834" s="290"/>
      <c r="N834" s="290"/>
      <c r="O834" s="290"/>
    </row>
    <row r="835" ht="14.25" customHeight="1">
      <c r="B835" s="227"/>
      <c r="C835" s="290"/>
      <c r="D835" s="290"/>
      <c r="E835" s="290"/>
      <c r="F835" s="290"/>
      <c r="G835" s="290"/>
      <c r="H835" s="290"/>
      <c r="I835" s="290"/>
      <c r="J835" s="290"/>
      <c r="K835" s="290"/>
      <c r="L835" s="290"/>
      <c r="M835" s="290"/>
      <c r="N835" s="290"/>
      <c r="O835" s="290"/>
    </row>
    <row r="836" ht="14.25" customHeight="1">
      <c r="B836" s="227"/>
      <c r="C836" s="290"/>
      <c r="D836" s="290"/>
      <c r="E836" s="290"/>
      <c r="F836" s="290"/>
      <c r="G836" s="290"/>
      <c r="H836" s="290"/>
      <c r="I836" s="290"/>
      <c r="J836" s="290"/>
      <c r="K836" s="290"/>
      <c r="L836" s="290"/>
      <c r="M836" s="290"/>
      <c r="N836" s="290"/>
      <c r="O836" s="290"/>
    </row>
    <row r="837" ht="14.25" customHeight="1">
      <c r="B837" s="227"/>
      <c r="C837" s="290"/>
      <c r="D837" s="290"/>
      <c r="E837" s="290"/>
      <c r="F837" s="290"/>
      <c r="G837" s="290"/>
      <c r="H837" s="290"/>
      <c r="I837" s="290"/>
      <c r="J837" s="290"/>
      <c r="K837" s="290"/>
      <c r="L837" s="290"/>
      <c r="M837" s="290"/>
      <c r="N837" s="290"/>
      <c r="O837" s="290"/>
    </row>
    <row r="838" ht="14.25" customHeight="1">
      <c r="B838" s="227"/>
      <c r="C838" s="290"/>
      <c r="D838" s="290"/>
      <c r="E838" s="290"/>
      <c r="F838" s="290"/>
      <c r="G838" s="290"/>
      <c r="H838" s="290"/>
      <c r="I838" s="290"/>
      <c r="J838" s="290"/>
      <c r="K838" s="290"/>
      <c r="L838" s="290"/>
      <c r="M838" s="290"/>
      <c r="N838" s="290"/>
      <c r="O838" s="290"/>
    </row>
    <row r="839" ht="14.25" customHeight="1">
      <c r="B839" s="227"/>
      <c r="C839" s="290"/>
      <c r="D839" s="290"/>
      <c r="E839" s="290"/>
      <c r="F839" s="290"/>
      <c r="G839" s="290"/>
      <c r="H839" s="290"/>
      <c r="I839" s="290"/>
      <c r="J839" s="290"/>
      <c r="K839" s="290"/>
      <c r="L839" s="290"/>
      <c r="M839" s="290"/>
      <c r="N839" s="290"/>
      <c r="O839" s="290"/>
    </row>
    <row r="840" ht="14.25" customHeight="1">
      <c r="B840" s="227"/>
      <c r="C840" s="290"/>
      <c r="D840" s="290"/>
      <c r="E840" s="290"/>
      <c r="F840" s="290"/>
      <c r="G840" s="290"/>
      <c r="H840" s="290"/>
      <c r="I840" s="290"/>
      <c r="J840" s="290"/>
      <c r="K840" s="290"/>
      <c r="L840" s="290"/>
      <c r="M840" s="290"/>
      <c r="N840" s="290"/>
      <c r="O840" s="290"/>
    </row>
    <row r="841" ht="14.25" customHeight="1">
      <c r="B841" s="227"/>
      <c r="C841" s="290"/>
      <c r="D841" s="290"/>
      <c r="E841" s="290"/>
      <c r="F841" s="290"/>
      <c r="G841" s="290"/>
      <c r="H841" s="290"/>
      <c r="I841" s="290"/>
      <c r="J841" s="290"/>
      <c r="K841" s="290"/>
      <c r="L841" s="290"/>
      <c r="M841" s="290"/>
      <c r="N841" s="290"/>
      <c r="O841" s="290"/>
    </row>
    <row r="842" ht="14.25" customHeight="1">
      <c r="B842" s="227"/>
      <c r="C842" s="290"/>
      <c r="D842" s="290"/>
      <c r="E842" s="290"/>
      <c r="F842" s="290"/>
      <c r="G842" s="290"/>
      <c r="H842" s="290"/>
      <c r="I842" s="290"/>
      <c r="J842" s="290"/>
      <c r="K842" s="290"/>
      <c r="L842" s="290"/>
      <c r="M842" s="290"/>
      <c r="N842" s="290"/>
      <c r="O842" s="290"/>
    </row>
    <row r="843" ht="14.25" customHeight="1">
      <c r="B843" s="227"/>
      <c r="C843" s="290"/>
      <c r="D843" s="290"/>
      <c r="E843" s="290"/>
      <c r="F843" s="290"/>
      <c r="G843" s="290"/>
      <c r="H843" s="290"/>
      <c r="I843" s="290"/>
      <c r="J843" s="290"/>
      <c r="K843" s="290"/>
      <c r="L843" s="290"/>
      <c r="M843" s="290"/>
      <c r="N843" s="290"/>
      <c r="O843" s="290"/>
    </row>
    <row r="844" ht="14.25" customHeight="1">
      <c r="B844" s="227"/>
      <c r="C844" s="290"/>
      <c r="D844" s="290"/>
      <c r="E844" s="290"/>
      <c r="F844" s="290"/>
      <c r="G844" s="290"/>
      <c r="H844" s="290"/>
      <c r="I844" s="290"/>
      <c r="J844" s="290"/>
      <c r="K844" s="290"/>
      <c r="L844" s="290"/>
      <c r="M844" s="290"/>
      <c r="N844" s="290"/>
      <c r="O844" s="290"/>
    </row>
    <row r="845" ht="14.25" customHeight="1">
      <c r="B845" s="227"/>
      <c r="C845" s="290"/>
      <c r="D845" s="290"/>
      <c r="E845" s="290"/>
      <c r="F845" s="290"/>
      <c r="G845" s="290"/>
      <c r="H845" s="290"/>
      <c r="I845" s="290"/>
      <c r="J845" s="290"/>
      <c r="K845" s="290"/>
      <c r="L845" s="290"/>
      <c r="M845" s="290"/>
      <c r="N845" s="290"/>
      <c r="O845" s="290"/>
    </row>
    <row r="846" ht="14.25" customHeight="1">
      <c r="B846" s="227"/>
      <c r="C846" s="290"/>
      <c r="D846" s="290"/>
      <c r="E846" s="290"/>
      <c r="F846" s="290"/>
      <c r="G846" s="290"/>
      <c r="H846" s="290"/>
      <c r="I846" s="290"/>
      <c r="J846" s="290"/>
      <c r="K846" s="290"/>
      <c r="L846" s="290"/>
      <c r="M846" s="290"/>
      <c r="N846" s="290"/>
      <c r="O846" s="290"/>
    </row>
    <row r="847" ht="14.25" customHeight="1">
      <c r="B847" s="227"/>
      <c r="C847" s="290"/>
      <c r="D847" s="290"/>
      <c r="E847" s="290"/>
      <c r="F847" s="290"/>
      <c r="G847" s="290"/>
      <c r="H847" s="290"/>
      <c r="I847" s="290"/>
      <c r="J847" s="290"/>
      <c r="K847" s="290"/>
      <c r="L847" s="290"/>
      <c r="M847" s="290"/>
      <c r="N847" s="290"/>
      <c r="O847" s="290"/>
    </row>
    <row r="848" ht="14.25" customHeight="1">
      <c r="B848" s="227"/>
      <c r="C848" s="290"/>
      <c r="D848" s="290"/>
      <c r="E848" s="290"/>
      <c r="F848" s="290"/>
      <c r="G848" s="290"/>
      <c r="H848" s="290"/>
      <c r="I848" s="290"/>
      <c r="J848" s="290"/>
      <c r="K848" s="290"/>
      <c r="L848" s="290"/>
      <c r="M848" s="290"/>
      <c r="N848" s="290"/>
      <c r="O848" s="290"/>
    </row>
    <row r="849" ht="14.25" customHeight="1">
      <c r="B849" s="227"/>
      <c r="C849" s="290"/>
      <c r="D849" s="290"/>
      <c r="E849" s="290"/>
      <c r="F849" s="290"/>
      <c r="G849" s="290"/>
      <c r="H849" s="290"/>
      <c r="I849" s="290"/>
      <c r="J849" s="290"/>
      <c r="K849" s="290"/>
      <c r="L849" s="290"/>
      <c r="M849" s="290"/>
      <c r="N849" s="290"/>
      <c r="O849" s="290"/>
    </row>
    <row r="850" ht="14.25" customHeight="1">
      <c r="B850" s="227"/>
      <c r="C850" s="290"/>
      <c r="D850" s="290"/>
      <c r="E850" s="290"/>
      <c r="F850" s="290"/>
      <c r="G850" s="290"/>
      <c r="H850" s="290"/>
      <c r="I850" s="290"/>
      <c r="J850" s="290"/>
      <c r="K850" s="290"/>
      <c r="L850" s="290"/>
      <c r="M850" s="290"/>
      <c r="N850" s="290"/>
      <c r="O850" s="290"/>
    </row>
    <row r="851" ht="14.25" customHeight="1">
      <c r="B851" s="227"/>
      <c r="C851" s="290"/>
      <c r="D851" s="290"/>
      <c r="E851" s="290"/>
      <c r="F851" s="290"/>
      <c r="G851" s="290"/>
      <c r="H851" s="290"/>
      <c r="I851" s="290"/>
      <c r="J851" s="290"/>
      <c r="K851" s="290"/>
      <c r="L851" s="290"/>
      <c r="M851" s="290"/>
      <c r="N851" s="290"/>
      <c r="O851" s="290"/>
    </row>
    <row r="852" ht="14.25" customHeight="1">
      <c r="B852" s="227"/>
      <c r="C852" s="290"/>
      <c r="D852" s="290"/>
      <c r="E852" s="290"/>
      <c r="F852" s="290"/>
      <c r="G852" s="290"/>
      <c r="H852" s="290"/>
      <c r="I852" s="290"/>
      <c r="J852" s="290"/>
      <c r="K852" s="290"/>
      <c r="L852" s="290"/>
      <c r="M852" s="290"/>
      <c r="N852" s="290"/>
      <c r="O852" s="290"/>
    </row>
    <row r="853" ht="14.25" customHeight="1">
      <c r="B853" s="227"/>
      <c r="C853" s="290"/>
      <c r="D853" s="290"/>
      <c r="E853" s="290"/>
      <c r="F853" s="290"/>
      <c r="G853" s="290"/>
      <c r="H853" s="290"/>
      <c r="I853" s="290"/>
      <c r="J853" s="290"/>
      <c r="K853" s="290"/>
      <c r="L853" s="290"/>
      <c r="M853" s="290"/>
      <c r="N853" s="290"/>
      <c r="O853" s="290"/>
    </row>
    <row r="854" ht="14.25" customHeight="1">
      <c r="B854" s="227"/>
      <c r="C854" s="290"/>
      <c r="D854" s="290"/>
      <c r="E854" s="290"/>
      <c r="F854" s="290"/>
      <c r="G854" s="290"/>
      <c r="H854" s="290"/>
      <c r="I854" s="290"/>
      <c r="J854" s="290"/>
      <c r="K854" s="290"/>
      <c r="L854" s="290"/>
      <c r="M854" s="290"/>
      <c r="N854" s="290"/>
      <c r="O854" s="290"/>
    </row>
    <row r="855" ht="14.25" customHeight="1">
      <c r="B855" s="227"/>
      <c r="C855" s="290"/>
      <c r="D855" s="290"/>
      <c r="E855" s="290"/>
      <c r="F855" s="290"/>
      <c r="G855" s="290"/>
      <c r="H855" s="290"/>
      <c r="I855" s="290"/>
      <c r="J855" s="290"/>
      <c r="K855" s="290"/>
      <c r="L855" s="290"/>
      <c r="M855" s="290"/>
      <c r="N855" s="290"/>
      <c r="O855" s="290"/>
    </row>
    <row r="856" ht="14.25" customHeight="1">
      <c r="B856" s="227"/>
      <c r="C856" s="290"/>
      <c r="D856" s="290"/>
      <c r="E856" s="290"/>
      <c r="F856" s="290"/>
      <c r="G856" s="290"/>
      <c r="H856" s="290"/>
      <c r="I856" s="290"/>
      <c r="J856" s="290"/>
      <c r="K856" s="290"/>
      <c r="L856" s="290"/>
      <c r="M856" s="290"/>
      <c r="N856" s="290"/>
      <c r="O856" s="290"/>
    </row>
    <row r="857" ht="14.25" customHeight="1">
      <c r="B857" s="227"/>
      <c r="C857" s="290"/>
      <c r="D857" s="290"/>
      <c r="E857" s="290"/>
      <c r="F857" s="290"/>
      <c r="G857" s="290"/>
      <c r="H857" s="290"/>
      <c r="I857" s="290"/>
      <c r="J857" s="290"/>
      <c r="K857" s="290"/>
      <c r="L857" s="290"/>
      <c r="M857" s="290"/>
      <c r="N857" s="290"/>
      <c r="O857" s="290"/>
    </row>
    <row r="858" ht="14.25" customHeight="1">
      <c r="B858" s="227"/>
      <c r="C858" s="290"/>
      <c r="D858" s="290"/>
      <c r="E858" s="290"/>
      <c r="F858" s="290"/>
      <c r="G858" s="290"/>
      <c r="H858" s="290"/>
      <c r="I858" s="290"/>
      <c r="J858" s="290"/>
      <c r="K858" s="290"/>
      <c r="L858" s="290"/>
      <c r="M858" s="290"/>
      <c r="N858" s="290"/>
      <c r="O858" s="290"/>
    </row>
    <row r="859" ht="14.25" customHeight="1">
      <c r="B859" s="227"/>
      <c r="C859" s="290"/>
      <c r="D859" s="290"/>
      <c r="E859" s="290"/>
      <c r="F859" s="290"/>
      <c r="G859" s="290"/>
      <c r="H859" s="290"/>
      <c r="I859" s="290"/>
      <c r="J859" s="290"/>
      <c r="K859" s="290"/>
      <c r="L859" s="290"/>
      <c r="M859" s="290"/>
      <c r="N859" s="290"/>
      <c r="O859" s="290"/>
    </row>
    <row r="860" ht="14.25" customHeight="1">
      <c r="B860" s="227"/>
      <c r="C860" s="290"/>
      <c r="D860" s="290"/>
      <c r="E860" s="290"/>
      <c r="F860" s="290"/>
      <c r="G860" s="290"/>
      <c r="H860" s="290"/>
      <c r="I860" s="290"/>
      <c r="J860" s="290"/>
      <c r="K860" s="290"/>
      <c r="L860" s="290"/>
      <c r="M860" s="290"/>
      <c r="N860" s="290"/>
      <c r="O860" s="290"/>
    </row>
    <row r="861" ht="14.25" customHeight="1">
      <c r="B861" s="227"/>
      <c r="C861" s="290"/>
      <c r="D861" s="290"/>
      <c r="E861" s="290"/>
      <c r="F861" s="290"/>
      <c r="G861" s="290"/>
      <c r="H861" s="290"/>
      <c r="I861" s="290"/>
      <c r="J861" s="290"/>
      <c r="K861" s="290"/>
      <c r="L861" s="290"/>
      <c r="M861" s="290"/>
      <c r="N861" s="290"/>
      <c r="O861" s="290"/>
    </row>
    <row r="862" ht="14.25" customHeight="1">
      <c r="B862" s="227"/>
      <c r="C862" s="290"/>
      <c r="D862" s="290"/>
      <c r="E862" s="290"/>
      <c r="F862" s="290"/>
      <c r="G862" s="290"/>
      <c r="H862" s="290"/>
      <c r="I862" s="290"/>
      <c r="J862" s="290"/>
      <c r="K862" s="290"/>
      <c r="L862" s="290"/>
      <c r="M862" s="290"/>
      <c r="N862" s="290"/>
      <c r="O862" s="290"/>
    </row>
    <row r="863" ht="14.25" customHeight="1">
      <c r="B863" s="227"/>
      <c r="C863" s="290"/>
      <c r="D863" s="290"/>
      <c r="E863" s="290"/>
      <c r="F863" s="290"/>
      <c r="G863" s="290"/>
      <c r="H863" s="290"/>
      <c r="I863" s="290"/>
      <c r="J863" s="290"/>
      <c r="K863" s="290"/>
      <c r="L863" s="290"/>
      <c r="M863" s="290"/>
      <c r="N863" s="290"/>
      <c r="O863" s="290"/>
    </row>
    <row r="864" ht="14.25" customHeight="1">
      <c r="B864" s="227"/>
      <c r="C864" s="290"/>
      <c r="D864" s="290"/>
      <c r="E864" s="290"/>
      <c r="F864" s="290"/>
      <c r="G864" s="290"/>
      <c r="H864" s="290"/>
      <c r="I864" s="290"/>
      <c r="J864" s="290"/>
      <c r="K864" s="290"/>
      <c r="L864" s="290"/>
      <c r="M864" s="290"/>
      <c r="N864" s="290"/>
      <c r="O864" s="290"/>
    </row>
    <row r="865" ht="14.25" customHeight="1">
      <c r="B865" s="227"/>
      <c r="C865" s="290"/>
      <c r="D865" s="290"/>
      <c r="E865" s="290"/>
      <c r="F865" s="290"/>
      <c r="G865" s="290"/>
      <c r="H865" s="290"/>
      <c r="I865" s="290"/>
      <c r="J865" s="290"/>
      <c r="K865" s="290"/>
      <c r="L865" s="290"/>
      <c r="M865" s="290"/>
      <c r="N865" s="290"/>
      <c r="O865" s="290"/>
    </row>
    <row r="866" ht="14.25" customHeight="1">
      <c r="B866" s="227"/>
      <c r="C866" s="290"/>
      <c r="D866" s="290"/>
      <c r="E866" s="290"/>
      <c r="F866" s="290"/>
      <c r="G866" s="290"/>
      <c r="H866" s="290"/>
      <c r="I866" s="290"/>
      <c r="J866" s="290"/>
      <c r="K866" s="290"/>
      <c r="L866" s="290"/>
      <c r="M866" s="290"/>
      <c r="N866" s="290"/>
      <c r="O866" s="290"/>
    </row>
    <row r="867" ht="14.25" customHeight="1">
      <c r="B867" s="227"/>
      <c r="C867" s="290"/>
      <c r="D867" s="290"/>
      <c r="E867" s="290"/>
      <c r="F867" s="290"/>
      <c r="G867" s="290"/>
      <c r="H867" s="290"/>
      <c r="I867" s="290"/>
      <c r="J867" s="290"/>
      <c r="K867" s="290"/>
      <c r="L867" s="290"/>
      <c r="M867" s="290"/>
      <c r="N867" s="290"/>
      <c r="O867" s="290"/>
    </row>
    <row r="868" ht="14.25" customHeight="1">
      <c r="B868" s="227"/>
      <c r="C868" s="290"/>
      <c r="D868" s="290"/>
      <c r="E868" s="290"/>
      <c r="F868" s="290"/>
      <c r="G868" s="290"/>
      <c r="H868" s="290"/>
      <c r="I868" s="290"/>
      <c r="J868" s="290"/>
      <c r="K868" s="290"/>
      <c r="L868" s="290"/>
      <c r="M868" s="290"/>
      <c r="N868" s="290"/>
      <c r="O868" s="290"/>
    </row>
    <row r="869" ht="14.25" customHeight="1">
      <c r="B869" s="227"/>
      <c r="C869" s="290"/>
      <c r="D869" s="290"/>
      <c r="E869" s="290"/>
      <c r="F869" s="290"/>
      <c r="G869" s="290"/>
      <c r="H869" s="290"/>
      <c r="I869" s="290"/>
      <c r="J869" s="290"/>
      <c r="K869" s="290"/>
      <c r="L869" s="290"/>
      <c r="M869" s="290"/>
      <c r="N869" s="290"/>
      <c r="O869" s="290"/>
    </row>
    <row r="870" ht="14.25" customHeight="1">
      <c r="B870" s="227"/>
      <c r="C870" s="290"/>
      <c r="D870" s="290"/>
      <c r="E870" s="290"/>
      <c r="F870" s="290"/>
      <c r="G870" s="290"/>
      <c r="H870" s="290"/>
      <c r="I870" s="290"/>
      <c r="J870" s="290"/>
      <c r="K870" s="290"/>
      <c r="L870" s="290"/>
      <c r="M870" s="290"/>
      <c r="N870" s="290"/>
      <c r="O870" s="290"/>
    </row>
    <row r="871" ht="14.25" customHeight="1">
      <c r="B871" s="227"/>
      <c r="C871" s="290"/>
      <c r="D871" s="290"/>
      <c r="E871" s="290"/>
      <c r="F871" s="290"/>
      <c r="G871" s="290"/>
      <c r="H871" s="290"/>
      <c r="I871" s="290"/>
      <c r="J871" s="290"/>
      <c r="K871" s="290"/>
      <c r="L871" s="290"/>
      <c r="M871" s="290"/>
      <c r="N871" s="290"/>
      <c r="O871" s="290"/>
    </row>
    <row r="872" ht="14.25" customHeight="1">
      <c r="B872" s="227"/>
      <c r="C872" s="290"/>
      <c r="D872" s="290"/>
      <c r="E872" s="290"/>
      <c r="F872" s="290"/>
      <c r="G872" s="290"/>
      <c r="H872" s="290"/>
      <c r="I872" s="290"/>
      <c r="J872" s="290"/>
      <c r="K872" s="290"/>
      <c r="L872" s="290"/>
      <c r="M872" s="290"/>
      <c r="N872" s="290"/>
      <c r="O872" s="290"/>
    </row>
    <row r="873" ht="14.25" customHeight="1">
      <c r="B873" s="227"/>
      <c r="C873" s="290"/>
      <c r="D873" s="290"/>
      <c r="E873" s="290"/>
      <c r="F873" s="290"/>
      <c r="G873" s="290"/>
      <c r="H873" s="290"/>
      <c r="I873" s="290"/>
      <c r="J873" s="290"/>
      <c r="K873" s="290"/>
      <c r="L873" s="290"/>
      <c r="M873" s="290"/>
      <c r="N873" s="290"/>
      <c r="O873" s="290"/>
    </row>
    <row r="874" ht="14.25" customHeight="1">
      <c r="B874" s="227"/>
      <c r="C874" s="290"/>
      <c r="D874" s="290"/>
      <c r="E874" s="290"/>
      <c r="F874" s="290"/>
      <c r="G874" s="290"/>
      <c r="H874" s="290"/>
      <c r="I874" s="290"/>
      <c r="J874" s="290"/>
      <c r="K874" s="290"/>
      <c r="L874" s="290"/>
      <c r="M874" s="290"/>
      <c r="N874" s="290"/>
      <c r="O874" s="290"/>
    </row>
    <row r="875" ht="14.25" customHeight="1">
      <c r="B875" s="227"/>
      <c r="C875" s="290"/>
      <c r="D875" s="290"/>
      <c r="E875" s="290"/>
      <c r="F875" s="290"/>
      <c r="G875" s="290"/>
      <c r="H875" s="290"/>
      <c r="I875" s="290"/>
      <c r="J875" s="290"/>
      <c r="K875" s="290"/>
      <c r="L875" s="290"/>
      <c r="M875" s="290"/>
      <c r="N875" s="290"/>
      <c r="O875" s="290"/>
    </row>
    <row r="876" ht="14.25" customHeight="1">
      <c r="B876" s="227"/>
      <c r="C876" s="290"/>
      <c r="D876" s="290"/>
      <c r="E876" s="290"/>
      <c r="F876" s="290"/>
      <c r="G876" s="290"/>
      <c r="H876" s="290"/>
      <c r="I876" s="290"/>
      <c r="J876" s="290"/>
      <c r="K876" s="290"/>
      <c r="L876" s="290"/>
      <c r="M876" s="290"/>
      <c r="N876" s="290"/>
      <c r="O876" s="290"/>
    </row>
    <row r="877" ht="14.25" customHeight="1">
      <c r="B877" s="227"/>
      <c r="C877" s="290"/>
      <c r="D877" s="290"/>
      <c r="E877" s="290"/>
      <c r="F877" s="290"/>
      <c r="G877" s="290"/>
      <c r="H877" s="290"/>
      <c r="I877" s="290"/>
      <c r="J877" s="290"/>
      <c r="K877" s="290"/>
      <c r="L877" s="290"/>
      <c r="M877" s="290"/>
      <c r="N877" s="290"/>
      <c r="O877" s="290"/>
    </row>
    <row r="878" ht="14.25" customHeight="1">
      <c r="B878" s="227"/>
      <c r="C878" s="290"/>
      <c r="D878" s="290"/>
      <c r="E878" s="290"/>
      <c r="F878" s="290"/>
      <c r="G878" s="290"/>
      <c r="H878" s="290"/>
      <c r="I878" s="290"/>
      <c r="J878" s="290"/>
      <c r="K878" s="290"/>
      <c r="L878" s="290"/>
      <c r="M878" s="290"/>
      <c r="N878" s="290"/>
      <c r="O878" s="290"/>
    </row>
    <row r="879" ht="14.25" customHeight="1">
      <c r="B879" s="227"/>
      <c r="C879" s="290"/>
      <c r="D879" s="290"/>
      <c r="E879" s="290"/>
      <c r="F879" s="290"/>
      <c r="G879" s="290"/>
      <c r="H879" s="290"/>
      <c r="I879" s="290"/>
      <c r="J879" s="290"/>
      <c r="K879" s="290"/>
      <c r="L879" s="290"/>
      <c r="M879" s="290"/>
      <c r="N879" s="290"/>
      <c r="O879" s="290"/>
    </row>
    <row r="880" ht="14.25" customHeight="1">
      <c r="B880" s="227"/>
      <c r="C880" s="290"/>
      <c r="D880" s="290"/>
      <c r="E880" s="290"/>
      <c r="F880" s="290"/>
      <c r="G880" s="290"/>
      <c r="H880" s="290"/>
      <c r="I880" s="290"/>
      <c r="J880" s="290"/>
      <c r="K880" s="290"/>
      <c r="L880" s="290"/>
      <c r="M880" s="290"/>
      <c r="N880" s="290"/>
      <c r="O880" s="290"/>
    </row>
    <row r="881" ht="14.25" customHeight="1">
      <c r="B881" s="227"/>
      <c r="C881" s="290"/>
      <c r="D881" s="290"/>
      <c r="E881" s="290"/>
      <c r="F881" s="290"/>
      <c r="G881" s="290"/>
      <c r="H881" s="290"/>
      <c r="I881" s="290"/>
      <c r="J881" s="290"/>
      <c r="K881" s="290"/>
      <c r="L881" s="290"/>
      <c r="M881" s="290"/>
      <c r="N881" s="290"/>
      <c r="O881" s="290"/>
    </row>
    <row r="882" ht="14.25" customHeight="1">
      <c r="B882" s="227"/>
      <c r="C882" s="290"/>
      <c r="D882" s="290"/>
      <c r="E882" s="290"/>
      <c r="F882" s="290"/>
      <c r="G882" s="290"/>
      <c r="H882" s="290"/>
      <c r="I882" s="290"/>
      <c r="J882" s="290"/>
      <c r="K882" s="290"/>
      <c r="L882" s="290"/>
      <c r="M882" s="290"/>
      <c r="N882" s="290"/>
      <c r="O882" s="290"/>
    </row>
    <row r="883" ht="14.25" customHeight="1">
      <c r="B883" s="227"/>
      <c r="C883" s="290"/>
      <c r="D883" s="290"/>
      <c r="E883" s="290"/>
      <c r="F883" s="290"/>
      <c r="G883" s="290"/>
      <c r="H883" s="290"/>
      <c r="I883" s="290"/>
      <c r="J883" s="290"/>
      <c r="K883" s="290"/>
      <c r="L883" s="290"/>
      <c r="M883" s="290"/>
      <c r="N883" s="290"/>
      <c r="O883" s="290"/>
    </row>
    <row r="884" ht="14.25" customHeight="1">
      <c r="B884" s="227"/>
      <c r="C884" s="290"/>
      <c r="D884" s="290"/>
      <c r="E884" s="290"/>
      <c r="F884" s="290"/>
      <c r="G884" s="290"/>
      <c r="H884" s="290"/>
      <c r="I884" s="290"/>
      <c r="J884" s="290"/>
      <c r="K884" s="290"/>
      <c r="L884" s="290"/>
      <c r="M884" s="290"/>
      <c r="N884" s="290"/>
      <c r="O884" s="290"/>
    </row>
    <row r="885" ht="14.25" customHeight="1">
      <c r="B885" s="227"/>
      <c r="C885" s="290"/>
      <c r="D885" s="290"/>
      <c r="E885" s="290"/>
      <c r="F885" s="290"/>
      <c r="G885" s="290"/>
      <c r="H885" s="290"/>
      <c r="I885" s="290"/>
      <c r="J885" s="290"/>
      <c r="K885" s="290"/>
      <c r="L885" s="290"/>
      <c r="M885" s="290"/>
      <c r="N885" s="290"/>
      <c r="O885" s="290"/>
    </row>
    <row r="886" ht="14.25" customHeight="1">
      <c r="B886" s="227"/>
      <c r="C886" s="290"/>
      <c r="D886" s="290"/>
      <c r="E886" s="290"/>
      <c r="F886" s="290"/>
      <c r="G886" s="290"/>
      <c r="H886" s="290"/>
      <c r="I886" s="290"/>
      <c r="J886" s="290"/>
      <c r="K886" s="290"/>
      <c r="L886" s="290"/>
      <c r="M886" s="290"/>
      <c r="N886" s="290"/>
      <c r="O886" s="290"/>
    </row>
    <row r="887" ht="14.25" customHeight="1">
      <c r="B887" s="227"/>
      <c r="C887" s="290"/>
      <c r="D887" s="290"/>
      <c r="E887" s="290"/>
      <c r="F887" s="290"/>
      <c r="G887" s="290"/>
      <c r="H887" s="290"/>
      <c r="I887" s="290"/>
      <c r="J887" s="290"/>
      <c r="K887" s="290"/>
      <c r="L887" s="290"/>
      <c r="M887" s="290"/>
      <c r="N887" s="290"/>
      <c r="O887" s="290"/>
    </row>
    <row r="888" ht="14.25" customHeight="1">
      <c r="B888" s="227"/>
      <c r="C888" s="290"/>
      <c r="D888" s="290"/>
      <c r="E888" s="290"/>
      <c r="F888" s="290"/>
      <c r="G888" s="290"/>
      <c r="H888" s="290"/>
      <c r="I888" s="290"/>
      <c r="J888" s="290"/>
      <c r="K888" s="290"/>
      <c r="L888" s="290"/>
      <c r="M888" s="290"/>
      <c r="N888" s="290"/>
      <c r="O888" s="290"/>
    </row>
    <row r="889" ht="14.25" customHeight="1">
      <c r="B889" s="227"/>
      <c r="C889" s="290"/>
      <c r="D889" s="290"/>
      <c r="E889" s="290"/>
      <c r="F889" s="290"/>
      <c r="G889" s="290"/>
      <c r="H889" s="290"/>
      <c r="I889" s="290"/>
      <c r="J889" s="290"/>
      <c r="K889" s="290"/>
      <c r="L889" s="290"/>
      <c r="M889" s="290"/>
      <c r="N889" s="290"/>
      <c r="O889" s="290"/>
    </row>
    <row r="890" ht="14.25" customHeight="1">
      <c r="B890" s="227"/>
      <c r="C890" s="290"/>
      <c r="D890" s="290"/>
      <c r="E890" s="290"/>
      <c r="F890" s="290"/>
      <c r="G890" s="290"/>
      <c r="H890" s="290"/>
      <c r="I890" s="290"/>
      <c r="J890" s="290"/>
      <c r="K890" s="290"/>
      <c r="L890" s="290"/>
      <c r="M890" s="290"/>
      <c r="N890" s="290"/>
      <c r="O890" s="290"/>
    </row>
    <row r="891" ht="14.25" customHeight="1">
      <c r="B891" s="227"/>
      <c r="C891" s="290"/>
      <c r="D891" s="290"/>
      <c r="E891" s="290"/>
      <c r="F891" s="290"/>
      <c r="G891" s="290"/>
      <c r="H891" s="290"/>
      <c r="I891" s="290"/>
      <c r="J891" s="290"/>
      <c r="K891" s="290"/>
      <c r="L891" s="290"/>
      <c r="M891" s="290"/>
      <c r="N891" s="290"/>
      <c r="O891" s="290"/>
    </row>
    <row r="892" ht="14.25" customHeight="1">
      <c r="B892" s="227"/>
      <c r="C892" s="290"/>
      <c r="D892" s="290"/>
      <c r="E892" s="290"/>
      <c r="F892" s="290"/>
      <c r="G892" s="290"/>
      <c r="H892" s="290"/>
      <c r="I892" s="290"/>
      <c r="J892" s="290"/>
      <c r="K892" s="290"/>
      <c r="L892" s="290"/>
      <c r="M892" s="290"/>
      <c r="N892" s="290"/>
      <c r="O892" s="290"/>
    </row>
    <row r="893" ht="14.25" customHeight="1">
      <c r="B893" s="227"/>
      <c r="C893" s="290"/>
      <c r="D893" s="290"/>
      <c r="E893" s="290"/>
      <c r="F893" s="290"/>
      <c r="G893" s="290"/>
      <c r="H893" s="290"/>
      <c r="I893" s="290"/>
      <c r="J893" s="290"/>
      <c r="K893" s="290"/>
      <c r="L893" s="290"/>
      <c r="M893" s="290"/>
      <c r="N893" s="290"/>
      <c r="O893" s="290"/>
    </row>
    <row r="894" ht="14.25" customHeight="1">
      <c r="B894" s="227"/>
      <c r="C894" s="290"/>
      <c r="D894" s="290"/>
      <c r="E894" s="290"/>
      <c r="F894" s="290"/>
      <c r="G894" s="290"/>
      <c r="H894" s="290"/>
      <c r="I894" s="290"/>
      <c r="J894" s="290"/>
      <c r="K894" s="290"/>
      <c r="L894" s="290"/>
      <c r="M894" s="290"/>
      <c r="N894" s="290"/>
      <c r="O894" s="290"/>
    </row>
    <row r="895" ht="14.25" customHeight="1">
      <c r="B895" s="227"/>
      <c r="C895" s="290"/>
      <c r="D895" s="290"/>
      <c r="E895" s="290"/>
      <c r="F895" s="290"/>
      <c r="G895" s="290"/>
      <c r="H895" s="290"/>
      <c r="I895" s="290"/>
      <c r="J895" s="290"/>
      <c r="K895" s="290"/>
      <c r="L895" s="290"/>
      <c r="M895" s="290"/>
      <c r="N895" s="290"/>
      <c r="O895" s="290"/>
    </row>
    <row r="896" ht="14.25" customHeight="1">
      <c r="B896" s="227"/>
      <c r="C896" s="290"/>
      <c r="D896" s="290"/>
      <c r="E896" s="290"/>
      <c r="F896" s="290"/>
      <c r="G896" s="290"/>
      <c r="H896" s="290"/>
      <c r="I896" s="290"/>
      <c r="J896" s="290"/>
      <c r="K896" s="290"/>
      <c r="L896" s="290"/>
      <c r="M896" s="290"/>
      <c r="N896" s="290"/>
      <c r="O896" s="290"/>
    </row>
    <row r="897" ht="14.25" customHeight="1">
      <c r="B897" s="227"/>
      <c r="C897" s="290"/>
      <c r="D897" s="290"/>
      <c r="E897" s="290"/>
      <c r="F897" s="290"/>
      <c r="G897" s="290"/>
      <c r="H897" s="290"/>
      <c r="I897" s="290"/>
      <c r="J897" s="290"/>
      <c r="K897" s="290"/>
      <c r="L897" s="290"/>
      <c r="M897" s="290"/>
      <c r="N897" s="290"/>
      <c r="O897" s="290"/>
    </row>
    <row r="898" ht="14.25" customHeight="1">
      <c r="B898" s="227"/>
      <c r="C898" s="290"/>
      <c r="D898" s="290"/>
      <c r="E898" s="290"/>
      <c r="F898" s="290"/>
      <c r="G898" s="290"/>
      <c r="H898" s="290"/>
      <c r="I898" s="290"/>
      <c r="J898" s="290"/>
      <c r="K898" s="290"/>
      <c r="L898" s="290"/>
      <c r="M898" s="290"/>
      <c r="N898" s="290"/>
      <c r="O898" s="290"/>
    </row>
    <row r="899" ht="14.25" customHeight="1">
      <c r="B899" s="227"/>
      <c r="C899" s="290"/>
      <c r="D899" s="290"/>
      <c r="E899" s="290"/>
      <c r="F899" s="290"/>
      <c r="G899" s="290"/>
      <c r="H899" s="290"/>
      <c r="I899" s="290"/>
      <c r="J899" s="290"/>
      <c r="K899" s="290"/>
      <c r="L899" s="290"/>
      <c r="M899" s="290"/>
      <c r="N899" s="290"/>
      <c r="O899" s="290"/>
    </row>
    <row r="900" ht="14.25" customHeight="1">
      <c r="B900" s="227"/>
      <c r="C900" s="290"/>
      <c r="D900" s="290"/>
      <c r="E900" s="290"/>
      <c r="F900" s="290"/>
      <c r="G900" s="290"/>
      <c r="H900" s="290"/>
      <c r="I900" s="290"/>
      <c r="J900" s="290"/>
      <c r="K900" s="290"/>
      <c r="L900" s="290"/>
      <c r="M900" s="290"/>
      <c r="N900" s="290"/>
      <c r="O900" s="290"/>
    </row>
    <row r="901" ht="14.25" customHeight="1">
      <c r="B901" s="227"/>
      <c r="C901" s="290"/>
      <c r="D901" s="290"/>
      <c r="E901" s="290"/>
      <c r="F901" s="290"/>
      <c r="G901" s="290"/>
      <c r="H901" s="290"/>
      <c r="I901" s="290"/>
      <c r="J901" s="290"/>
      <c r="K901" s="290"/>
      <c r="L901" s="290"/>
      <c r="M901" s="290"/>
      <c r="N901" s="290"/>
      <c r="O901" s="290"/>
    </row>
    <row r="902" ht="14.25" customHeight="1">
      <c r="B902" s="227"/>
      <c r="C902" s="290"/>
      <c r="D902" s="290"/>
      <c r="E902" s="290"/>
      <c r="F902" s="290"/>
      <c r="G902" s="290"/>
      <c r="H902" s="290"/>
      <c r="I902" s="290"/>
      <c r="J902" s="290"/>
      <c r="K902" s="290"/>
      <c r="L902" s="290"/>
      <c r="M902" s="290"/>
      <c r="N902" s="290"/>
      <c r="O902" s="290"/>
    </row>
    <row r="903" ht="14.25" customHeight="1">
      <c r="B903" s="227"/>
      <c r="C903" s="290"/>
      <c r="D903" s="290"/>
      <c r="E903" s="290"/>
      <c r="F903" s="290"/>
      <c r="G903" s="290"/>
      <c r="H903" s="290"/>
      <c r="I903" s="290"/>
      <c r="J903" s="290"/>
      <c r="K903" s="290"/>
      <c r="L903" s="290"/>
      <c r="M903" s="290"/>
      <c r="N903" s="290"/>
      <c r="O903" s="290"/>
    </row>
    <row r="904" ht="14.25" customHeight="1">
      <c r="B904" s="227"/>
      <c r="C904" s="290"/>
      <c r="D904" s="290"/>
      <c r="E904" s="290"/>
      <c r="F904" s="290"/>
      <c r="G904" s="290"/>
      <c r="H904" s="290"/>
      <c r="I904" s="290"/>
      <c r="J904" s="290"/>
      <c r="K904" s="290"/>
      <c r="L904" s="290"/>
      <c r="M904" s="290"/>
      <c r="N904" s="290"/>
      <c r="O904" s="290"/>
    </row>
    <row r="905" ht="14.25" customHeight="1">
      <c r="B905" s="227"/>
      <c r="C905" s="290"/>
      <c r="D905" s="290"/>
      <c r="E905" s="290"/>
      <c r="F905" s="290"/>
      <c r="G905" s="290"/>
      <c r="H905" s="290"/>
      <c r="I905" s="290"/>
      <c r="J905" s="290"/>
      <c r="K905" s="290"/>
      <c r="L905" s="290"/>
      <c r="M905" s="290"/>
      <c r="N905" s="290"/>
      <c r="O905" s="290"/>
    </row>
    <row r="906" ht="14.25" customHeight="1">
      <c r="B906" s="227"/>
      <c r="C906" s="290"/>
      <c r="D906" s="290"/>
      <c r="E906" s="290"/>
      <c r="F906" s="290"/>
      <c r="G906" s="290"/>
      <c r="H906" s="290"/>
      <c r="I906" s="290"/>
      <c r="J906" s="290"/>
      <c r="K906" s="290"/>
      <c r="L906" s="290"/>
      <c r="M906" s="290"/>
      <c r="N906" s="290"/>
      <c r="O906" s="290"/>
    </row>
    <row r="907" ht="14.25" customHeight="1">
      <c r="B907" s="227"/>
      <c r="C907" s="290"/>
      <c r="D907" s="290"/>
      <c r="E907" s="290"/>
      <c r="F907" s="290"/>
      <c r="G907" s="290"/>
      <c r="H907" s="290"/>
      <c r="I907" s="290"/>
      <c r="J907" s="290"/>
      <c r="K907" s="290"/>
      <c r="L907" s="290"/>
      <c r="M907" s="290"/>
      <c r="N907" s="290"/>
      <c r="O907" s="290"/>
    </row>
    <row r="908" ht="14.25" customHeight="1">
      <c r="B908" s="227"/>
      <c r="C908" s="290"/>
      <c r="D908" s="290"/>
      <c r="E908" s="290"/>
      <c r="F908" s="290"/>
      <c r="G908" s="290"/>
      <c r="H908" s="290"/>
      <c r="I908" s="290"/>
      <c r="J908" s="290"/>
      <c r="K908" s="290"/>
      <c r="L908" s="290"/>
      <c r="M908" s="290"/>
      <c r="N908" s="290"/>
      <c r="O908" s="290"/>
    </row>
    <row r="909" ht="14.25" customHeight="1">
      <c r="B909" s="227"/>
      <c r="C909" s="290"/>
      <c r="D909" s="290"/>
      <c r="E909" s="290"/>
      <c r="F909" s="290"/>
      <c r="G909" s="290"/>
      <c r="H909" s="290"/>
      <c r="I909" s="290"/>
      <c r="J909" s="290"/>
      <c r="K909" s="290"/>
      <c r="L909" s="290"/>
      <c r="M909" s="290"/>
      <c r="N909" s="290"/>
      <c r="O909" s="290"/>
    </row>
    <row r="910" ht="14.25" customHeight="1">
      <c r="B910" s="227"/>
      <c r="C910" s="290"/>
      <c r="D910" s="290"/>
      <c r="E910" s="290"/>
      <c r="F910" s="290"/>
      <c r="G910" s="290"/>
      <c r="H910" s="290"/>
      <c r="I910" s="290"/>
      <c r="J910" s="290"/>
      <c r="K910" s="290"/>
      <c r="L910" s="290"/>
      <c r="M910" s="290"/>
      <c r="N910" s="290"/>
      <c r="O910" s="290"/>
    </row>
    <row r="911" ht="14.25" customHeight="1">
      <c r="B911" s="227"/>
      <c r="C911" s="290"/>
      <c r="D911" s="290"/>
      <c r="E911" s="290"/>
      <c r="F911" s="290"/>
      <c r="G911" s="290"/>
      <c r="H911" s="290"/>
      <c r="I911" s="290"/>
      <c r="J911" s="290"/>
      <c r="K911" s="290"/>
      <c r="L911" s="290"/>
      <c r="M911" s="290"/>
      <c r="N911" s="290"/>
      <c r="O911" s="290"/>
    </row>
    <row r="912" ht="14.25" customHeight="1">
      <c r="B912" s="227"/>
      <c r="C912" s="290"/>
      <c r="D912" s="290"/>
      <c r="E912" s="290"/>
      <c r="F912" s="290"/>
      <c r="G912" s="290"/>
      <c r="H912" s="290"/>
      <c r="I912" s="290"/>
      <c r="J912" s="290"/>
      <c r="K912" s="290"/>
      <c r="L912" s="290"/>
      <c r="M912" s="290"/>
      <c r="N912" s="290"/>
      <c r="O912" s="290"/>
    </row>
    <row r="913" ht="14.25" customHeight="1">
      <c r="B913" s="227"/>
      <c r="C913" s="290"/>
      <c r="D913" s="290"/>
      <c r="E913" s="290"/>
      <c r="F913" s="290"/>
      <c r="G913" s="290"/>
      <c r="H913" s="290"/>
      <c r="I913" s="290"/>
      <c r="J913" s="290"/>
      <c r="K913" s="290"/>
      <c r="L913" s="290"/>
      <c r="M913" s="290"/>
      <c r="N913" s="290"/>
      <c r="O913" s="290"/>
    </row>
    <row r="914" ht="14.25" customHeight="1">
      <c r="B914" s="227"/>
      <c r="C914" s="290"/>
      <c r="D914" s="290"/>
      <c r="E914" s="290"/>
      <c r="F914" s="290"/>
      <c r="G914" s="290"/>
      <c r="H914" s="290"/>
      <c r="I914" s="290"/>
      <c r="J914" s="290"/>
      <c r="K914" s="290"/>
      <c r="L914" s="290"/>
      <c r="M914" s="290"/>
      <c r="N914" s="290"/>
      <c r="O914" s="290"/>
    </row>
    <row r="915" ht="14.25" customHeight="1">
      <c r="B915" s="227"/>
      <c r="C915" s="290"/>
      <c r="D915" s="290"/>
      <c r="E915" s="290"/>
      <c r="F915" s="290"/>
      <c r="G915" s="290"/>
      <c r="H915" s="290"/>
      <c r="I915" s="290"/>
      <c r="J915" s="290"/>
      <c r="K915" s="290"/>
      <c r="L915" s="290"/>
      <c r="M915" s="290"/>
      <c r="N915" s="290"/>
      <c r="O915" s="290"/>
    </row>
    <row r="916" ht="14.25" customHeight="1">
      <c r="B916" s="227"/>
      <c r="C916" s="290"/>
      <c r="D916" s="290"/>
      <c r="E916" s="290"/>
      <c r="F916" s="290"/>
      <c r="G916" s="290"/>
      <c r="H916" s="290"/>
      <c r="I916" s="290"/>
      <c r="J916" s="290"/>
      <c r="K916" s="290"/>
      <c r="L916" s="290"/>
      <c r="M916" s="290"/>
      <c r="N916" s="290"/>
      <c r="O916" s="290"/>
    </row>
    <row r="917" ht="14.25" customHeight="1">
      <c r="B917" s="227"/>
      <c r="C917" s="290"/>
      <c r="D917" s="290"/>
      <c r="E917" s="290"/>
      <c r="F917" s="290"/>
      <c r="G917" s="290"/>
      <c r="H917" s="290"/>
      <c r="I917" s="290"/>
      <c r="J917" s="290"/>
      <c r="K917" s="290"/>
      <c r="L917" s="290"/>
      <c r="M917" s="290"/>
      <c r="N917" s="290"/>
      <c r="O917" s="290"/>
    </row>
    <row r="918" ht="14.25" customHeight="1">
      <c r="B918" s="227"/>
      <c r="C918" s="290"/>
      <c r="D918" s="290"/>
      <c r="E918" s="290"/>
      <c r="F918" s="290"/>
      <c r="G918" s="290"/>
      <c r="H918" s="290"/>
      <c r="I918" s="290"/>
      <c r="J918" s="290"/>
      <c r="K918" s="290"/>
      <c r="L918" s="290"/>
      <c r="M918" s="290"/>
      <c r="N918" s="290"/>
      <c r="O918" s="290"/>
    </row>
    <row r="919" ht="14.25" customHeight="1">
      <c r="B919" s="227"/>
      <c r="C919" s="290"/>
      <c r="D919" s="290"/>
      <c r="E919" s="290"/>
      <c r="F919" s="290"/>
      <c r="G919" s="290"/>
      <c r="H919" s="290"/>
      <c r="I919" s="290"/>
      <c r="J919" s="290"/>
      <c r="K919" s="290"/>
      <c r="L919" s="290"/>
      <c r="M919" s="290"/>
      <c r="N919" s="290"/>
      <c r="O919" s="290"/>
    </row>
    <row r="920" ht="14.25" customHeight="1">
      <c r="B920" s="227"/>
      <c r="C920" s="290"/>
      <c r="D920" s="290"/>
      <c r="E920" s="290"/>
      <c r="F920" s="290"/>
      <c r="G920" s="290"/>
      <c r="H920" s="290"/>
      <c r="I920" s="290"/>
      <c r="J920" s="290"/>
      <c r="K920" s="290"/>
      <c r="L920" s="290"/>
      <c r="M920" s="290"/>
      <c r="N920" s="290"/>
      <c r="O920" s="290"/>
    </row>
    <row r="921" ht="14.25" customHeight="1">
      <c r="B921" s="227"/>
      <c r="C921" s="290"/>
      <c r="D921" s="290"/>
      <c r="E921" s="290"/>
      <c r="F921" s="290"/>
      <c r="G921" s="290"/>
      <c r="H921" s="290"/>
      <c r="I921" s="290"/>
      <c r="J921" s="290"/>
      <c r="K921" s="290"/>
      <c r="L921" s="290"/>
      <c r="M921" s="290"/>
      <c r="N921" s="290"/>
      <c r="O921" s="290"/>
    </row>
    <row r="922" ht="14.25" customHeight="1">
      <c r="B922" s="227"/>
      <c r="C922" s="290"/>
      <c r="D922" s="290"/>
      <c r="E922" s="290"/>
      <c r="F922" s="290"/>
      <c r="G922" s="290"/>
      <c r="H922" s="290"/>
      <c r="I922" s="290"/>
      <c r="J922" s="290"/>
      <c r="K922" s="290"/>
      <c r="L922" s="290"/>
      <c r="M922" s="290"/>
      <c r="N922" s="290"/>
      <c r="O922" s="290"/>
    </row>
    <row r="923" ht="14.25" customHeight="1">
      <c r="B923" s="227"/>
      <c r="C923" s="290"/>
      <c r="D923" s="290"/>
      <c r="E923" s="290"/>
      <c r="F923" s="290"/>
      <c r="G923" s="290"/>
      <c r="H923" s="290"/>
      <c r="I923" s="290"/>
      <c r="J923" s="290"/>
      <c r="K923" s="290"/>
      <c r="L923" s="290"/>
      <c r="M923" s="290"/>
      <c r="N923" s="290"/>
      <c r="O923" s="290"/>
    </row>
    <row r="924" ht="14.25" customHeight="1">
      <c r="B924" s="227"/>
      <c r="C924" s="290"/>
      <c r="D924" s="290"/>
      <c r="E924" s="290"/>
      <c r="F924" s="290"/>
      <c r="G924" s="290"/>
      <c r="H924" s="290"/>
      <c r="I924" s="290"/>
      <c r="J924" s="290"/>
      <c r="K924" s="290"/>
      <c r="L924" s="290"/>
      <c r="M924" s="290"/>
      <c r="N924" s="290"/>
      <c r="O924" s="290"/>
    </row>
    <row r="925" ht="14.25" customHeight="1">
      <c r="B925" s="227"/>
      <c r="C925" s="290"/>
      <c r="D925" s="290"/>
      <c r="E925" s="290"/>
      <c r="F925" s="290"/>
      <c r="G925" s="290"/>
      <c r="H925" s="290"/>
      <c r="I925" s="290"/>
      <c r="J925" s="290"/>
      <c r="K925" s="290"/>
      <c r="L925" s="290"/>
      <c r="M925" s="290"/>
      <c r="N925" s="290"/>
      <c r="O925" s="290"/>
    </row>
    <row r="926" ht="14.25" customHeight="1">
      <c r="B926" s="227"/>
      <c r="C926" s="290"/>
      <c r="D926" s="290"/>
      <c r="E926" s="290"/>
      <c r="F926" s="290"/>
      <c r="G926" s="290"/>
      <c r="H926" s="290"/>
      <c r="I926" s="290"/>
      <c r="J926" s="290"/>
      <c r="K926" s="290"/>
      <c r="L926" s="290"/>
      <c r="M926" s="290"/>
      <c r="N926" s="290"/>
      <c r="O926" s="290"/>
    </row>
    <row r="927" ht="14.25" customHeight="1">
      <c r="B927" s="227"/>
      <c r="C927" s="290"/>
      <c r="D927" s="290"/>
      <c r="E927" s="290"/>
      <c r="F927" s="290"/>
      <c r="G927" s="290"/>
      <c r="H927" s="290"/>
      <c r="I927" s="290"/>
      <c r="J927" s="290"/>
      <c r="K927" s="290"/>
      <c r="L927" s="290"/>
      <c r="M927" s="290"/>
      <c r="N927" s="290"/>
      <c r="O927" s="290"/>
    </row>
    <row r="928" ht="14.25" customHeight="1">
      <c r="B928" s="227"/>
      <c r="C928" s="290"/>
      <c r="D928" s="290"/>
      <c r="E928" s="290"/>
      <c r="F928" s="290"/>
      <c r="G928" s="290"/>
      <c r="H928" s="290"/>
      <c r="I928" s="290"/>
      <c r="J928" s="290"/>
      <c r="K928" s="290"/>
      <c r="L928" s="290"/>
      <c r="M928" s="290"/>
      <c r="N928" s="290"/>
      <c r="O928" s="290"/>
    </row>
    <row r="929" ht="14.25" customHeight="1">
      <c r="B929" s="227"/>
      <c r="C929" s="290"/>
      <c r="D929" s="290"/>
      <c r="E929" s="290"/>
      <c r="F929" s="290"/>
      <c r="G929" s="290"/>
      <c r="H929" s="290"/>
      <c r="I929" s="290"/>
      <c r="J929" s="290"/>
      <c r="K929" s="290"/>
      <c r="L929" s="290"/>
      <c r="M929" s="290"/>
      <c r="N929" s="290"/>
      <c r="O929" s="290"/>
    </row>
    <row r="930" ht="14.25" customHeight="1">
      <c r="B930" s="227"/>
      <c r="C930" s="290"/>
      <c r="D930" s="290"/>
      <c r="E930" s="290"/>
      <c r="F930" s="290"/>
      <c r="G930" s="290"/>
      <c r="H930" s="290"/>
      <c r="I930" s="290"/>
      <c r="J930" s="290"/>
      <c r="K930" s="290"/>
      <c r="L930" s="290"/>
      <c r="M930" s="290"/>
      <c r="N930" s="290"/>
      <c r="O930" s="290"/>
    </row>
    <row r="931" ht="14.25" customHeight="1">
      <c r="B931" s="227"/>
      <c r="C931" s="290"/>
      <c r="D931" s="290"/>
      <c r="E931" s="290"/>
      <c r="F931" s="290"/>
      <c r="G931" s="290"/>
      <c r="H931" s="290"/>
      <c r="I931" s="290"/>
      <c r="J931" s="290"/>
      <c r="K931" s="290"/>
      <c r="L931" s="290"/>
      <c r="M931" s="290"/>
      <c r="N931" s="290"/>
      <c r="O931" s="290"/>
    </row>
    <row r="932" ht="14.25" customHeight="1">
      <c r="B932" s="227"/>
      <c r="C932" s="290"/>
      <c r="D932" s="290"/>
      <c r="E932" s="290"/>
      <c r="F932" s="290"/>
      <c r="G932" s="290"/>
      <c r="H932" s="290"/>
      <c r="I932" s="290"/>
      <c r="J932" s="290"/>
      <c r="K932" s="290"/>
      <c r="L932" s="290"/>
      <c r="M932" s="290"/>
      <c r="N932" s="290"/>
      <c r="O932" s="290"/>
    </row>
    <row r="933" ht="14.25" customHeight="1">
      <c r="B933" s="227"/>
      <c r="C933" s="290"/>
      <c r="D933" s="290"/>
      <c r="E933" s="290"/>
      <c r="F933" s="290"/>
      <c r="G933" s="290"/>
      <c r="H933" s="290"/>
      <c r="I933" s="290"/>
      <c r="J933" s="290"/>
      <c r="K933" s="290"/>
      <c r="L933" s="290"/>
      <c r="M933" s="290"/>
      <c r="N933" s="290"/>
      <c r="O933" s="290"/>
    </row>
    <row r="934" ht="14.25" customHeight="1">
      <c r="B934" s="227"/>
      <c r="C934" s="290"/>
      <c r="D934" s="290"/>
      <c r="E934" s="290"/>
      <c r="F934" s="290"/>
      <c r="G934" s="290"/>
      <c r="H934" s="290"/>
      <c r="I934" s="290"/>
      <c r="J934" s="290"/>
      <c r="K934" s="290"/>
      <c r="L934" s="290"/>
      <c r="M934" s="290"/>
      <c r="N934" s="290"/>
      <c r="O934" s="290"/>
    </row>
    <row r="935" ht="14.25" customHeight="1">
      <c r="B935" s="227"/>
      <c r="C935" s="290"/>
      <c r="D935" s="290"/>
      <c r="E935" s="290"/>
      <c r="F935" s="290"/>
      <c r="G935" s="290"/>
      <c r="H935" s="290"/>
      <c r="I935" s="290"/>
      <c r="J935" s="290"/>
      <c r="K935" s="290"/>
      <c r="L935" s="290"/>
      <c r="M935" s="290"/>
      <c r="N935" s="290"/>
      <c r="O935" s="290"/>
    </row>
    <row r="936" ht="14.25" customHeight="1">
      <c r="B936" s="227"/>
      <c r="C936" s="290"/>
      <c r="D936" s="290"/>
      <c r="E936" s="290"/>
      <c r="F936" s="290"/>
      <c r="G936" s="290"/>
      <c r="H936" s="290"/>
      <c r="I936" s="290"/>
      <c r="J936" s="290"/>
      <c r="K936" s="290"/>
      <c r="L936" s="290"/>
      <c r="M936" s="290"/>
      <c r="N936" s="290"/>
      <c r="O936" s="290"/>
    </row>
    <row r="937" ht="14.25" customHeight="1">
      <c r="B937" s="227"/>
      <c r="C937" s="290"/>
      <c r="D937" s="290"/>
      <c r="E937" s="290"/>
      <c r="F937" s="290"/>
      <c r="G937" s="290"/>
      <c r="H937" s="290"/>
      <c r="I937" s="290"/>
      <c r="J937" s="290"/>
      <c r="K937" s="290"/>
      <c r="L937" s="290"/>
      <c r="M937" s="290"/>
      <c r="N937" s="290"/>
      <c r="O937" s="290"/>
    </row>
    <row r="938" ht="14.25" customHeight="1">
      <c r="B938" s="227"/>
      <c r="C938" s="290"/>
      <c r="D938" s="290"/>
      <c r="E938" s="290"/>
      <c r="F938" s="290"/>
      <c r="G938" s="290"/>
      <c r="H938" s="290"/>
      <c r="I938" s="290"/>
      <c r="J938" s="290"/>
      <c r="K938" s="290"/>
      <c r="L938" s="290"/>
      <c r="M938" s="290"/>
      <c r="N938" s="290"/>
      <c r="O938" s="290"/>
    </row>
    <row r="939" ht="14.25" customHeight="1">
      <c r="B939" s="227"/>
      <c r="C939" s="290"/>
      <c r="D939" s="290"/>
      <c r="E939" s="290"/>
      <c r="F939" s="290"/>
      <c r="G939" s="290"/>
      <c r="H939" s="290"/>
      <c r="I939" s="290"/>
      <c r="J939" s="290"/>
      <c r="K939" s="290"/>
      <c r="L939" s="290"/>
      <c r="M939" s="290"/>
      <c r="N939" s="290"/>
      <c r="O939" s="290"/>
    </row>
    <row r="940" ht="14.25" customHeight="1">
      <c r="B940" s="227"/>
      <c r="C940" s="290"/>
      <c r="D940" s="290"/>
      <c r="E940" s="290"/>
      <c r="F940" s="290"/>
      <c r="G940" s="290"/>
      <c r="H940" s="290"/>
      <c r="I940" s="290"/>
      <c r="J940" s="290"/>
      <c r="K940" s="290"/>
      <c r="L940" s="290"/>
      <c r="M940" s="290"/>
      <c r="N940" s="290"/>
      <c r="O940" s="290"/>
    </row>
    <row r="941" ht="14.25" customHeight="1">
      <c r="B941" s="227"/>
      <c r="C941" s="290"/>
      <c r="D941" s="290"/>
      <c r="E941" s="290"/>
      <c r="F941" s="290"/>
      <c r="G941" s="290"/>
      <c r="H941" s="290"/>
      <c r="I941" s="290"/>
      <c r="J941" s="290"/>
      <c r="K941" s="290"/>
      <c r="L941" s="290"/>
      <c r="M941" s="290"/>
      <c r="N941" s="290"/>
      <c r="O941" s="290"/>
    </row>
    <row r="942" ht="14.25" customHeight="1">
      <c r="B942" s="227"/>
      <c r="C942" s="290"/>
      <c r="D942" s="290"/>
      <c r="E942" s="290"/>
      <c r="F942" s="290"/>
      <c r="G942" s="290"/>
      <c r="H942" s="290"/>
      <c r="I942" s="290"/>
      <c r="J942" s="290"/>
      <c r="K942" s="290"/>
      <c r="L942" s="290"/>
      <c r="M942" s="290"/>
      <c r="N942" s="290"/>
      <c r="O942" s="290"/>
    </row>
    <row r="943" ht="14.25" customHeight="1">
      <c r="B943" s="227"/>
      <c r="C943" s="290"/>
      <c r="D943" s="290"/>
      <c r="E943" s="290"/>
      <c r="F943" s="290"/>
      <c r="G943" s="290"/>
      <c r="H943" s="290"/>
      <c r="I943" s="290"/>
      <c r="J943" s="290"/>
      <c r="K943" s="290"/>
      <c r="L943" s="290"/>
      <c r="M943" s="290"/>
      <c r="N943" s="290"/>
      <c r="O943" s="290"/>
    </row>
    <row r="944" ht="14.25" customHeight="1">
      <c r="B944" s="227"/>
      <c r="C944" s="290"/>
      <c r="D944" s="290"/>
      <c r="E944" s="290"/>
      <c r="F944" s="290"/>
      <c r="G944" s="290"/>
      <c r="H944" s="290"/>
      <c r="I944" s="290"/>
      <c r="J944" s="290"/>
      <c r="K944" s="290"/>
      <c r="L944" s="290"/>
      <c r="M944" s="290"/>
      <c r="N944" s="290"/>
      <c r="O944" s="290"/>
    </row>
    <row r="945" ht="14.25" customHeight="1">
      <c r="B945" s="227"/>
      <c r="C945" s="290"/>
      <c r="D945" s="290"/>
      <c r="E945" s="290"/>
      <c r="F945" s="290"/>
      <c r="G945" s="290"/>
      <c r="H945" s="290"/>
      <c r="I945" s="290"/>
      <c r="J945" s="290"/>
      <c r="K945" s="290"/>
      <c r="L945" s="290"/>
      <c r="M945" s="290"/>
      <c r="N945" s="290"/>
      <c r="O945" s="290"/>
    </row>
    <row r="946" ht="14.25" customHeight="1">
      <c r="B946" s="227"/>
      <c r="C946" s="290"/>
      <c r="D946" s="290"/>
      <c r="E946" s="290"/>
      <c r="F946" s="290"/>
      <c r="G946" s="290"/>
      <c r="H946" s="290"/>
      <c r="I946" s="290"/>
      <c r="J946" s="290"/>
      <c r="K946" s="290"/>
      <c r="L946" s="290"/>
      <c r="M946" s="290"/>
      <c r="N946" s="290"/>
      <c r="O946" s="290"/>
    </row>
    <row r="947" ht="14.25" customHeight="1">
      <c r="B947" s="227"/>
      <c r="C947" s="290"/>
      <c r="D947" s="290"/>
      <c r="E947" s="290"/>
      <c r="F947" s="290"/>
      <c r="G947" s="290"/>
      <c r="H947" s="290"/>
      <c r="I947" s="290"/>
      <c r="J947" s="290"/>
      <c r="K947" s="290"/>
      <c r="L947" s="290"/>
      <c r="M947" s="290"/>
      <c r="N947" s="290"/>
      <c r="O947" s="290"/>
    </row>
    <row r="948" ht="14.25" customHeight="1">
      <c r="B948" s="227"/>
      <c r="C948" s="290"/>
      <c r="D948" s="290"/>
      <c r="E948" s="290"/>
      <c r="F948" s="290"/>
      <c r="G948" s="290"/>
      <c r="H948" s="290"/>
      <c r="I948" s="290"/>
      <c r="J948" s="290"/>
      <c r="K948" s="290"/>
      <c r="L948" s="290"/>
      <c r="M948" s="290"/>
      <c r="N948" s="290"/>
      <c r="O948" s="290"/>
    </row>
    <row r="949" ht="14.25" customHeight="1">
      <c r="B949" s="227"/>
      <c r="C949" s="290"/>
      <c r="D949" s="290"/>
      <c r="E949" s="290"/>
      <c r="F949" s="290"/>
      <c r="G949" s="290"/>
      <c r="H949" s="290"/>
      <c r="I949" s="290"/>
      <c r="J949" s="290"/>
      <c r="K949" s="290"/>
      <c r="L949" s="290"/>
      <c r="M949" s="290"/>
      <c r="N949" s="290"/>
      <c r="O949" s="290"/>
    </row>
    <row r="950" ht="14.25" customHeight="1">
      <c r="B950" s="227"/>
      <c r="C950" s="290"/>
      <c r="D950" s="290"/>
      <c r="E950" s="290"/>
      <c r="F950" s="290"/>
      <c r="G950" s="290"/>
      <c r="H950" s="290"/>
      <c r="I950" s="290"/>
      <c r="J950" s="290"/>
      <c r="K950" s="290"/>
      <c r="L950" s="290"/>
      <c r="M950" s="290"/>
      <c r="N950" s="290"/>
      <c r="O950" s="290"/>
    </row>
    <row r="951" ht="14.25" customHeight="1">
      <c r="B951" s="227"/>
      <c r="C951" s="290"/>
      <c r="D951" s="290"/>
      <c r="E951" s="290"/>
      <c r="F951" s="290"/>
      <c r="G951" s="290"/>
      <c r="H951" s="290"/>
      <c r="I951" s="290"/>
      <c r="J951" s="290"/>
      <c r="K951" s="290"/>
      <c r="L951" s="290"/>
      <c r="M951" s="290"/>
      <c r="N951" s="290"/>
      <c r="O951" s="290"/>
    </row>
    <row r="952" ht="14.25" customHeight="1">
      <c r="B952" s="227"/>
      <c r="C952" s="290"/>
      <c r="D952" s="290"/>
      <c r="E952" s="290"/>
      <c r="F952" s="290"/>
      <c r="G952" s="290"/>
      <c r="H952" s="290"/>
      <c r="I952" s="290"/>
      <c r="J952" s="290"/>
      <c r="K952" s="290"/>
      <c r="L952" s="290"/>
      <c r="M952" s="290"/>
      <c r="N952" s="290"/>
      <c r="O952" s="290"/>
    </row>
    <row r="953" ht="14.25" customHeight="1">
      <c r="B953" s="227"/>
      <c r="C953" s="290"/>
      <c r="D953" s="290"/>
      <c r="E953" s="290"/>
      <c r="F953" s="290"/>
      <c r="G953" s="290"/>
      <c r="H953" s="290"/>
      <c r="I953" s="290"/>
      <c r="J953" s="290"/>
      <c r="K953" s="290"/>
      <c r="L953" s="290"/>
      <c r="M953" s="290"/>
      <c r="N953" s="290"/>
      <c r="O953" s="290"/>
    </row>
    <row r="954" ht="14.25" customHeight="1">
      <c r="B954" s="227"/>
      <c r="C954" s="290"/>
      <c r="D954" s="290"/>
      <c r="E954" s="290"/>
      <c r="F954" s="290"/>
      <c r="G954" s="290"/>
      <c r="H954" s="290"/>
      <c r="I954" s="290"/>
      <c r="J954" s="290"/>
      <c r="K954" s="290"/>
      <c r="L954" s="290"/>
      <c r="M954" s="290"/>
      <c r="N954" s="290"/>
      <c r="O954" s="290"/>
    </row>
    <row r="955" ht="14.25" customHeight="1">
      <c r="B955" s="227"/>
      <c r="C955" s="290"/>
      <c r="D955" s="290"/>
      <c r="E955" s="290"/>
      <c r="F955" s="290"/>
      <c r="G955" s="290"/>
      <c r="H955" s="290"/>
      <c r="I955" s="290"/>
      <c r="J955" s="290"/>
      <c r="K955" s="290"/>
      <c r="L955" s="290"/>
      <c r="M955" s="290"/>
      <c r="N955" s="290"/>
      <c r="O955" s="290"/>
    </row>
    <row r="956" ht="14.25" customHeight="1">
      <c r="B956" s="227"/>
      <c r="C956" s="290"/>
      <c r="D956" s="290"/>
      <c r="E956" s="290"/>
      <c r="F956" s="290"/>
      <c r="G956" s="290"/>
      <c r="H956" s="290"/>
      <c r="I956" s="290"/>
      <c r="J956" s="290"/>
      <c r="K956" s="290"/>
      <c r="L956" s="290"/>
      <c r="M956" s="290"/>
      <c r="N956" s="290"/>
      <c r="O956" s="290"/>
    </row>
    <row r="957" ht="14.25" customHeight="1">
      <c r="B957" s="227"/>
      <c r="C957" s="290"/>
      <c r="D957" s="290"/>
      <c r="E957" s="290"/>
      <c r="F957" s="290"/>
      <c r="G957" s="290"/>
      <c r="H957" s="290"/>
      <c r="I957" s="290"/>
      <c r="J957" s="290"/>
      <c r="K957" s="290"/>
      <c r="L957" s="290"/>
      <c r="M957" s="290"/>
      <c r="N957" s="290"/>
      <c r="O957" s="290"/>
    </row>
    <row r="958" ht="14.25" customHeight="1">
      <c r="B958" s="227"/>
      <c r="C958" s="290"/>
      <c r="D958" s="290"/>
      <c r="E958" s="290"/>
      <c r="F958" s="290"/>
      <c r="G958" s="290"/>
      <c r="H958" s="290"/>
      <c r="I958" s="290"/>
      <c r="J958" s="290"/>
      <c r="K958" s="290"/>
      <c r="L958" s="290"/>
      <c r="M958" s="290"/>
      <c r="N958" s="290"/>
      <c r="O958" s="290"/>
    </row>
    <row r="959" ht="14.25" customHeight="1">
      <c r="B959" s="227"/>
      <c r="C959" s="290"/>
      <c r="D959" s="290"/>
      <c r="E959" s="290"/>
      <c r="F959" s="290"/>
      <c r="G959" s="290"/>
      <c r="H959" s="290"/>
      <c r="I959" s="290"/>
      <c r="J959" s="290"/>
      <c r="K959" s="290"/>
      <c r="L959" s="290"/>
      <c r="M959" s="290"/>
      <c r="N959" s="290"/>
      <c r="O959" s="290"/>
    </row>
    <row r="960" ht="14.25" customHeight="1">
      <c r="B960" s="227"/>
      <c r="C960" s="290"/>
      <c r="D960" s="290"/>
      <c r="E960" s="290"/>
      <c r="F960" s="290"/>
      <c r="G960" s="290"/>
      <c r="H960" s="290"/>
      <c r="I960" s="290"/>
      <c r="J960" s="290"/>
      <c r="K960" s="290"/>
      <c r="L960" s="290"/>
      <c r="M960" s="290"/>
      <c r="N960" s="290"/>
      <c r="O960" s="290"/>
    </row>
    <row r="961" ht="14.25" customHeight="1">
      <c r="B961" s="227"/>
      <c r="C961" s="290"/>
      <c r="D961" s="290"/>
      <c r="E961" s="290"/>
      <c r="F961" s="290"/>
      <c r="G961" s="290"/>
      <c r="H961" s="290"/>
      <c r="I961" s="290"/>
      <c r="J961" s="290"/>
      <c r="K961" s="290"/>
      <c r="L961" s="290"/>
      <c r="M961" s="290"/>
      <c r="N961" s="290"/>
      <c r="O961" s="290"/>
    </row>
    <row r="962" ht="14.25" customHeight="1">
      <c r="B962" s="227"/>
      <c r="C962" s="290"/>
      <c r="D962" s="290"/>
      <c r="E962" s="290"/>
      <c r="F962" s="290"/>
      <c r="G962" s="290"/>
      <c r="H962" s="290"/>
      <c r="I962" s="290"/>
      <c r="J962" s="290"/>
      <c r="K962" s="290"/>
      <c r="L962" s="290"/>
      <c r="M962" s="290"/>
      <c r="N962" s="290"/>
      <c r="O962" s="290"/>
    </row>
    <row r="963" ht="14.25" customHeight="1">
      <c r="B963" s="227"/>
      <c r="C963" s="290"/>
      <c r="D963" s="290"/>
      <c r="E963" s="290"/>
      <c r="F963" s="290"/>
      <c r="G963" s="290"/>
      <c r="H963" s="290"/>
      <c r="I963" s="290"/>
      <c r="J963" s="290"/>
      <c r="K963" s="290"/>
      <c r="L963" s="290"/>
      <c r="M963" s="290"/>
      <c r="N963" s="290"/>
      <c r="O963" s="290"/>
    </row>
    <row r="964" ht="14.25" customHeight="1">
      <c r="B964" s="227"/>
      <c r="C964" s="290"/>
      <c r="D964" s="290"/>
      <c r="E964" s="290"/>
      <c r="F964" s="290"/>
      <c r="G964" s="290"/>
      <c r="H964" s="290"/>
      <c r="I964" s="290"/>
      <c r="J964" s="290"/>
      <c r="K964" s="290"/>
      <c r="L964" s="290"/>
      <c r="M964" s="290"/>
      <c r="N964" s="290"/>
      <c r="O964" s="290"/>
    </row>
    <row r="965" ht="14.25" customHeight="1">
      <c r="B965" s="227"/>
      <c r="C965" s="290"/>
      <c r="D965" s="290"/>
      <c r="E965" s="290"/>
      <c r="F965" s="290"/>
      <c r="G965" s="290"/>
      <c r="H965" s="290"/>
      <c r="I965" s="290"/>
      <c r="J965" s="290"/>
      <c r="K965" s="290"/>
      <c r="L965" s="290"/>
      <c r="M965" s="290"/>
      <c r="N965" s="290"/>
      <c r="O965" s="290"/>
    </row>
    <row r="966" ht="14.25" customHeight="1">
      <c r="B966" s="227"/>
      <c r="C966" s="290"/>
      <c r="D966" s="290"/>
      <c r="E966" s="290"/>
      <c r="F966" s="290"/>
      <c r="G966" s="290"/>
      <c r="H966" s="290"/>
      <c r="I966" s="290"/>
      <c r="J966" s="290"/>
      <c r="K966" s="290"/>
      <c r="L966" s="290"/>
      <c r="M966" s="290"/>
      <c r="N966" s="290"/>
      <c r="O966" s="290"/>
    </row>
    <row r="967" ht="14.25" customHeight="1">
      <c r="B967" s="227"/>
      <c r="C967" s="290"/>
      <c r="D967" s="290"/>
      <c r="E967" s="290"/>
      <c r="F967" s="290"/>
      <c r="G967" s="290"/>
      <c r="H967" s="290"/>
      <c r="I967" s="290"/>
      <c r="J967" s="290"/>
      <c r="K967" s="290"/>
      <c r="L967" s="290"/>
      <c r="M967" s="290"/>
      <c r="N967" s="290"/>
      <c r="O967" s="290"/>
    </row>
    <row r="968" ht="14.25" customHeight="1">
      <c r="B968" s="227"/>
      <c r="C968" s="290"/>
      <c r="D968" s="290"/>
      <c r="E968" s="290"/>
      <c r="F968" s="290"/>
      <c r="G968" s="290"/>
      <c r="H968" s="290"/>
      <c r="I968" s="290"/>
      <c r="J968" s="290"/>
      <c r="K968" s="290"/>
      <c r="L968" s="290"/>
      <c r="M968" s="290"/>
      <c r="N968" s="290"/>
      <c r="O968" s="290"/>
    </row>
    <row r="969" ht="14.25" customHeight="1">
      <c r="B969" s="227"/>
      <c r="C969" s="290"/>
      <c r="D969" s="290"/>
      <c r="E969" s="290"/>
      <c r="F969" s="290"/>
      <c r="G969" s="290"/>
      <c r="H969" s="290"/>
      <c r="I969" s="290"/>
      <c r="J969" s="290"/>
      <c r="K969" s="290"/>
      <c r="L969" s="290"/>
      <c r="M969" s="290"/>
      <c r="N969" s="290"/>
      <c r="O969" s="290"/>
    </row>
    <row r="970" ht="14.25" customHeight="1">
      <c r="B970" s="227"/>
      <c r="C970" s="290"/>
      <c r="D970" s="290"/>
      <c r="E970" s="290"/>
      <c r="F970" s="290"/>
      <c r="G970" s="290"/>
      <c r="H970" s="290"/>
      <c r="I970" s="290"/>
      <c r="J970" s="290"/>
      <c r="K970" s="290"/>
      <c r="L970" s="290"/>
      <c r="M970" s="290"/>
      <c r="N970" s="290"/>
      <c r="O970" s="290"/>
    </row>
    <row r="971" ht="14.25" customHeight="1">
      <c r="B971" s="227"/>
      <c r="C971" s="290"/>
      <c r="D971" s="290"/>
      <c r="E971" s="290"/>
      <c r="F971" s="290"/>
      <c r="G971" s="290"/>
      <c r="H971" s="290"/>
      <c r="I971" s="290"/>
      <c r="J971" s="290"/>
      <c r="K971" s="290"/>
      <c r="L971" s="290"/>
      <c r="M971" s="290"/>
      <c r="N971" s="290"/>
      <c r="O971" s="290"/>
    </row>
    <row r="972" ht="14.25" customHeight="1">
      <c r="B972" s="227"/>
      <c r="C972" s="290"/>
      <c r="D972" s="290"/>
      <c r="E972" s="290"/>
      <c r="F972" s="290"/>
      <c r="G972" s="290"/>
      <c r="H972" s="290"/>
      <c r="I972" s="290"/>
      <c r="J972" s="290"/>
      <c r="K972" s="290"/>
      <c r="L972" s="290"/>
      <c r="M972" s="290"/>
      <c r="N972" s="290"/>
      <c r="O972" s="290"/>
    </row>
    <row r="973" ht="14.25" customHeight="1">
      <c r="B973" s="227"/>
      <c r="C973" s="290"/>
      <c r="D973" s="290"/>
      <c r="E973" s="290"/>
      <c r="F973" s="290"/>
      <c r="G973" s="290"/>
      <c r="H973" s="290"/>
      <c r="I973" s="290"/>
      <c r="J973" s="290"/>
      <c r="K973" s="290"/>
      <c r="L973" s="290"/>
      <c r="M973" s="290"/>
      <c r="N973" s="290"/>
      <c r="O973" s="290"/>
    </row>
    <row r="974" ht="14.25" customHeight="1">
      <c r="B974" s="227"/>
      <c r="C974" s="290"/>
      <c r="D974" s="290"/>
      <c r="E974" s="290"/>
      <c r="F974" s="290"/>
      <c r="G974" s="290"/>
      <c r="H974" s="290"/>
      <c r="I974" s="290"/>
      <c r="J974" s="290"/>
      <c r="K974" s="290"/>
      <c r="L974" s="290"/>
      <c r="M974" s="290"/>
      <c r="N974" s="290"/>
      <c r="O974" s="290"/>
    </row>
    <row r="975" ht="14.25" customHeight="1">
      <c r="B975" s="227"/>
      <c r="C975" s="290"/>
      <c r="D975" s="290"/>
      <c r="E975" s="290"/>
      <c r="F975" s="290"/>
      <c r="G975" s="290"/>
      <c r="H975" s="290"/>
      <c r="I975" s="290"/>
      <c r="J975" s="290"/>
      <c r="K975" s="290"/>
      <c r="L975" s="290"/>
      <c r="M975" s="290"/>
      <c r="N975" s="290"/>
      <c r="O975" s="290"/>
    </row>
    <row r="976" ht="14.25" customHeight="1">
      <c r="B976" s="227"/>
      <c r="C976" s="290"/>
      <c r="D976" s="290"/>
      <c r="E976" s="290"/>
      <c r="F976" s="290"/>
      <c r="G976" s="290"/>
      <c r="H976" s="290"/>
      <c r="I976" s="290"/>
      <c r="J976" s="290"/>
      <c r="K976" s="290"/>
      <c r="L976" s="290"/>
      <c r="M976" s="290"/>
      <c r="N976" s="290"/>
      <c r="O976" s="290"/>
    </row>
    <row r="977" ht="14.25" customHeight="1">
      <c r="B977" s="227"/>
      <c r="C977" s="290"/>
      <c r="D977" s="290"/>
      <c r="E977" s="290"/>
      <c r="F977" s="290"/>
      <c r="G977" s="290"/>
      <c r="H977" s="290"/>
      <c r="I977" s="290"/>
      <c r="J977" s="290"/>
      <c r="K977" s="290"/>
      <c r="L977" s="290"/>
      <c r="M977" s="290"/>
      <c r="N977" s="290"/>
      <c r="O977" s="290"/>
    </row>
    <row r="978" ht="14.25" customHeight="1">
      <c r="B978" s="227"/>
      <c r="C978" s="290"/>
      <c r="D978" s="290"/>
      <c r="E978" s="290"/>
      <c r="F978" s="290"/>
      <c r="G978" s="290"/>
      <c r="H978" s="290"/>
      <c r="I978" s="290"/>
      <c r="J978" s="290"/>
      <c r="K978" s="290"/>
      <c r="L978" s="290"/>
      <c r="M978" s="290"/>
      <c r="N978" s="290"/>
      <c r="O978" s="290"/>
    </row>
    <row r="979" ht="14.25" customHeight="1">
      <c r="B979" s="227"/>
      <c r="C979" s="290"/>
      <c r="D979" s="290"/>
      <c r="E979" s="290"/>
      <c r="F979" s="290"/>
      <c r="G979" s="290"/>
      <c r="H979" s="290"/>
      <c r="I979" s="290"/>
      <c r="J979" s="290"/>
      <c r="K979" s="290"/>
      <c r="L979" s="290"/>
      <c r="M979" s="290"/>
      <c r="N979" s="290"/>
      <c r="O979" s="290"/>
    </row>
    <row r="980" ht="14.25" customHeight="1">
      <c r="B980" s="227"/>
      <c r="C980" s="290"/>
      <c r="D980" s="290"/>
      <c r="E980" s="290"/>
      <c r="F980" s="290"/>
      <c r="G980" s="290"/>
      <c r="H980" s="290"/>
      <c r="I980" s="290"/>
      <c r="J980" s="290"/>
      <c r="K980" s="290"/>
      <c r="L980" s="290"/>
      <c r="M980" s="290"/>
      <c r="N980" s="290"/>
      <c r="O980" s="290"/>
    </row>
    <row r="981" ht="14.25" customHeight="1">
      <c r="B981" s="227"/>
      <c r="C981" s="290"/>
      <c r="D981" s="290"/>
      <c r="E981" s="290"/>
      <c r="F981" s="290"/>
      <c r="G981" s="290"/>
      <c r="H981" s="290"/>
      <c r="I981" s="290"/>
      <c r="J981" s="290"/>
      <c r="K981" s="290"/>
      <c r="L981" s="290"/>
      <c r="M981" s="290"/>
      <c r="N981" s="290"/>
      <c r="O981" s="290"/>
    </row>
    <row r="982" ht="14.25" customHeight="1">
      <c r="B982" s="227"/>
      <c r="C982" s="290"/>
      <c r="D982" s="290"/>
      <c r="E982" s="290"/>
      <c r="F982" s="290"/>
      <c r="G982" s="290"/>
      <c r="H982" s="290"/>
      <c r="I982" s="290"/>
      <c r="J982" s="290"/>
      <c r="K982" s="290"/>
      <c r="L982" s="290"/>
      <c r="M982" s="290"/>
      <c r="N982" s="290"/>
      <c r="O982" s="290"/>
    </row>
    <row r="983" ht="14.25" customHeight="1">
      <c r="B983" s="227"/>
      <c r="C983" s="290"/>
      <c r="D983" s="290"/>
      <c r="E983" s="290"/>
      <c r="F983" s="290"/>
      <c r="G983" s="290"/>
      <c r="H983" s="290"/>
      <c r="I983" s="290"/>
      <c r="J983" s="290"/>
      <c r="K983" s="290"/>
      <c r="L983" s="290"/>
      <c r="M983" s="290"/>
      <c r="N983" s="290"/>
      <c r="O983" s="290"/>
    </row>
    <row r="984" ht="14.25" customHeight="1">
      <c r="B984" s="227"/>
      <c r="C984" s="290"/>
      <c r="D984" s="290"/>
      <c r="E984" s="290"/>
      <c r="F984" s="290"/>
      <c r="G984" s="290"/>
      <c r="H984" s="290"/>
      <c r="I984" s="290"/>
      <c r="J984" s="290"/>
      <c r="K984" s="290"/>
      <c r="L984" s="290"/>
      <c r="M984" s="290"/>
      <c r="N984" s="290"/>
      <c r="O984" s="290"/>
    </row>
    <row r="985" ht="14.25" customHeight="1">
      <c r="B985" s="227"/>
      <c r="C985" s="290"/>
      <c r="D985" s="290"/>
      <c r="E985" s="290"/>
      <c r="F985" s="290"/>
      <c r="G985" s="290"/>
      <c r="H985" s="290"/>
      <c r="I985" s="290"/>
      <c r="J985" s="290"/>
      <c r="K985" s="290"/>
      <c r="L985" s="290"/>
      <c r="M985" s="290"/>
      <c r="N985" s="290"/>
      <c r="O985" s="290"/>
    </row>
    <row r="986" ht="14.25" customHeight="1">
      <c r="B986" s="227"/>
      <c r="C986" s="290"/>
      <c r="D986" s="290"/>
      <c r="E986" s="290"/>
      <c r="F986" s="290"/>
      <c r="G986" s="290"/>
      <c r="H986" s="290"/>
      <c r="I986" s="290"/>
      <c r="J986" s="290"/>
      <c r="K986" s="290"/>
      <c r="L986" s="290"/>
      <c r="M986" s="290"/>
      <c r="N986" s="290"/>
      <c r="O986" s="290"/>
    </row>
    <row r="987" ht="14.25" customHeight="1">
      <c r="B987" s="227"/>
      <c r="C987" s="290"/>
      <c r="D987" s="290"/>
      <c r="E987" s="290"/>
      <c r="F987" s="290"/>
      <c r="G987" s="290"/>
      <c r="H987" s="290"/>
      <c r="I987" s="290"/>
      <c r="J987" s="290"/>
      <c r="K987" s="290"/>
      <c r="L987" s="290"/>
      <c r="M987" s="290"/>
      <c r="N987" s="290"/>
      <c r="O987" s="290"/>
    </row>
    <row r="988" ht="14.25" customHeight="1">
      <c r="B988" s="227"/>
      <c r="C988" s="290"/>
      <c r="D988" s="290"/>
      <c r="E988" s="290"/>
      <c r="F988" s="290"/>
      <c r="G988" s="290"/>
      <c r="H988" s="290"/>
      <c r="I988" s="290"/>
      <c r="J988" s="290"/>
      <c r="K988" s="290"/>
      <c r="L988" s="290"/>
      <c r="M988" s="290"/>
      <c r="N988" s="290"/>
      <c r="O988" s="290"/>
    </row>
    <row r="989" ht="14.25" customHeight="1">
      <c r="B989" s="227"/>
      <c r="C989" s="290"/>
      <c r="D989" s="290"/>
      <c r="E989" s="290"/>
      <c r="F989" s="290"/>
      <c r="G989" s="290"/>
      <c r="H989" s="290"/>
      <c r="I989" s="290"/>
      <c r="J989" s="290"/>
      <c r="K989" s="290"/>
      <c r="L989" s="290"/>
      <c r="M989" s="290"/>
      <c r="N989" s="290"/>
      <c r="O989" s="290"/>
    </row>
    <row r="990" ht="14.25" customHeight="1">
      <c r="B990" s="227"/>
      <c r="C990" s="290"/>
      <c r="D990" s="290"/>
      <c r="E990" s="290"/>
      <c r="F990" s="290"/>
      <c r="G990" s="290"/>
      <c r="H990" s="290"/>
      <c r="I990" s="290"/>
      <c r="J990" s="290"/>
      <c r="K990" s="290"/>
      <c r="L990" s="290"/>
      <c r="M990" s="290"/>
      <c r="N990" s="290"/>
      <c r="O990" s="290"/>
    </row>
    <row r="991" ht="14.25" customHeight="1">
      <c r="B991" s="227"/>
      <c r="C991" s="290"/>
      <c r="D991" s="290"/>
      <c r="E991" s="290"/>
      <c r="F991" s="290"/>
      <c r="G991" s="290"/>
      <c r="H991" s="290"/>
      <c r="I991" s="290"/>
      <c r="J991" s="290"/>
      <c r="K991" s="290"/>
      <c r="L991" s="290"/>
      <c r="M991" s="290"/>
      <c r="N991" s="290"/>
      <c r="O991" s="290"/>
    </row>
    <row r="992" ht="14.25" customHeight="1">
      <c r="B992" s="227"/>
      <c r="C992" s="290"/>
      <c r="D992" s="290"/>
      <c r="E992" s="290"/>
      <c r="F992" s="290"/>
      <c r="G992" s="290"/>
      <c r="H992" s="290"/>
      <c r="I992" s="290"/>
      <c r="J992" s="290"/>
      <c r="K992" s="290"/>
      <c r="L992" s="290"/>
      <c r="M992" s="290"/>
      <c r="N992" s="290"/>
      <c r="O992" s="290"/>
    </row>
    <row r="993" ht="14.25" customHeight="1">
      <c r="B993" s="227"/>
      <c r="C993" s="290"/>
      <c r="D993" s="290"/>
      <c r="E993" s="290"/>
      <c r="F993" s="290"/>
      <c r="G993" s="290"/>
      <c r="H993" s="290"/>
      <c r="I993" s="290"/>
      <c r="J993" s="290"/>
      <c r="K993" s="290"/>
      <c r="L993" s="290"/>
      <c r="M993" s="290"/>
      <c r="N993" s="290"/>
      <c r="O993" s="290"/>
    </row>
    <row r="994" ht="14.25" customHeight="1">
      <c r="B994" s="227"/>
      <c r="C994" s="290"/>
      <c r="D994" s="290"/>
      <c r="E994" s="290"/>
      <c r="F994" s="290"/>
      <c r="G994" s="290"/>
      <c r="H994" s="290"/>
      <c r="I994" s="290"/>
      <c r="J994" s="290"/>
      <c r="K994" s="290"/>
      <c r="L994" s="290"/>
      <c r="M994" s="290"/>
      <c r="N994" s="290"/>
      <c r="O994" s="290"/>
    </row>
    <row r="995" ht="14.25" customHeight="1">
      <c r="B995" s="227"/>
      <c r="C995" s="290"/>
      <c r="D995" s="290"/>
      <c r="E995" s="290"/>
      <c r="F995" s="290"/>
      <c r="G995" s="290"/>
      <c r="H995" s="290"/>
      <c r="I995" s="290"/>
      <c r="J995" s="290"/>
      <c r="K995" s="290"/>
      <c r="L995" s="290"/>
      <c r="M995" s="290"/>
      <c r="N995" s="290"/>
      <c r="O995" s="290"/>
    </row>
    <row r="996" ht="14.25" customHeight="1">
      <c r="B996" s="227"/>
      <c r="C996" s="290"/>
      <c r="D996" s="290"/>
      <c r="E996" s="290"/>
      <c r="F996" s="290"/>
      <c r="G996" s="290"/>
      <c r="H996" s="290"/>
      <c r="I996" s="290"/>
      <c r="J996" s="290"/>
      <c r="K996" s="290"/>
      <c r="L996" s="290"/>
      <c r="M996" s="290"/>
      <c r="N996" s="290"/>
      <c r="O996" s="290"/>
    </row>
    <row r="997" ht="14.25" customHeight="1">
      <c r="B997" s="227"/>
      <c r="C997" s="290"/>
      <c r="D997" s="290"/>
      <c r="E997" s="290"/>
      <c r="F997" s="290"/>
      <c r="G997" s="290"/>
      <c r="H997" s="290"/>
      <c r="I997" s="290"/>
      <c r="J997" s="290"/>
      <c r="K997" s="290"/>
      <c r="L997" s="290"/>
      <c r="M997" s="290"/>
      <c r="N997" s="290"/>
      <c r="O997" s="290"/>
    </row>
    <row r="998" ht="14.25" customHeight="1">
      <c r="B998" s="227"/>
      <c r="C998" s="290"/>
      <c r="D998" s="290"/>
      <c r="E998" s="290"/>
      <c r="F998" s="290"/>
      <c r="G998" s="290"/>
      <c r="H998" s="290"/>
      <c r="I998" s="290"/>
      <c r="J998" s="290"/>
      <c r="K998" s="290"/>
      <c r="L998" s="290"/>
      <c r="M998" s="290"/>
      <c r="N998" s="290"/>
      <c r="O998" s="290"/>
    </row>
    <row r="999" ht="14.25" customHeight="1">
      <c r="B999" s="227"/>
      <c r="C999" s="290"/>
      <c r="D999" s="290"/>
      <c r="E999" s="290"/>
      <c r="F999" s="290"/>
      <c r="G999" s="290"/>
      <c r="H999" s="290"/>
      <c r="I999" s="290"/>
      <c r="J999" s="290"/>
      <c r="K999" s="290"/>
      <c r="L999" s="290"/>
      <c r="M999" s="290"/>
      <c r="N999" s="290"/>
      <c r="O999" s="290"/>
    </row>
    <row r="1000" ht="14.25" customHeight="1">
      <c r="B1000" s="227"/>
      <c r="C1000" s="290"/>
      <c r="D1000" s="290"/>
      <c r="E1000" s="290"/>
      <c r="F1000" s="290"/>
      <c r="G1000" s="290"/>
      <c r="H1000" s="290"/>
      <c r="I1000" s="290"/>
      <c r="J1000" s="290"/>
      <c r="K1000" s="290"/>
      <c r="L1000" s="290"/>
      <c r="M1000" s="290"/>
      <c r="N1000" s="290"/>
      <c r="O1000" s="290"/>
    </row>
  </sheetData>
  <mergeCells count="44">
    <mergeCell ref="A1:N1"/>
    <mergeCell ref="B2:M2"/>
    <mergeCell ref="B3:J3"/>
    <mergeCell ref="B13:M13"/>
    <mergeCell ref="B14:J14"/>
    <mergeCell ref="B24:M24"/>
    <mergeCell ref="B25:J25"/>
    <mergeCell ref="B32:M32"/>
    <mergeCell ref="B33:J33"/>
    <mergeCell ref="B44:M44"/>
    <mergeCell ref="B45:J45"/>
    <mergeCell ref="B55:M55"/>
    <mergeCell ref="B56:J56"/>
    <mergeCell ref="A64:S64"/>
    <mergeCell ref="Q69:S69"/>
    <mergeCell ref="Q70:S70"/>
    <mergeCell ref="Q68:S68"/>
    <mergeCell ref="Q71:S71"/>
    <mergeCell ref="Q76:S76"/>
    <mergeCell ref="A65:S65"/>
    <mergeCell ref="A66:S66"/>
    <mergeCell ref="A67:H68"/>
    <mergeCell ref="Q67:S67"/>
    <mergeCell ref="A69:H69"/>
    <mergeCell ref="A70:H70"/>
    <mergeCell ref="A71:H71"/>
    <mergeCell ref="A72:H72"/>
    <mergeCell ref="Q72:S72"/>
    <mergeCell ref="A73:H73"/>
    <mergeCell ref="Q73:S73"/>
    <mergeCell ref="A74:H74"/>
    <mergeCell ref="Q74:S74"/>
    <mergeCell ref="Q75:S75"/>
    <mergeCell ref="A102:J102"/>
    <mergeCell ref="B103:J103"/>
    <mergeCell ref="A109:J109"/>
    <mergeCell ref="B110:J110"/>
    <mergeCell ref="A75:H75"/>
    <mergeCell ref="A79:J79"/>
    <mergeCell ref="B80:J80"/>
    <mergeCell ref="A87:K87"/>
    <mergeCell ref="B88:K88"/>
    <mergeCell ref="A95:K95"/>
    <mergeCell ref="B96:K96"/>
  </mergeCells>
  <conditionalFormatting sqref="B5:L10">
    <cfRule type="cellIs" dxfId="0" priority="1" operator="lessThan">
      <formula>2</formula>
    </cfRule>
  </conditionalFormatting>
  <conditionalFormatting sqref="B16:K21">
    <cfRule type="cellIs" dxfId="0" priority="2" operator="lessThan">
      <formula>2</formula>
    </cfRule>
  </conditionalFormatting>
  <conditionalFormatting sqref="B27:K29">
    <cfRule type="cellIs" dxfId="0" priority="3" operator="lessThan">
      <formula>2</formula>
    </cfRule>
  </conditionalFormatting>
  <conditionalFormatting sqref="B35:K40">
    <cfRule type="cellIs" dxfId="0" priority="4" operator="lessThan">
      <formula>2</formula>
    </cfRule>
  </conditionalFormatting>
  <conditionalFormatting sqref="B47:K52">
    <cfRule type="cellIs" dxfId="0" priority="5" operator="lessThan">
      <formula>2</formula>
    </cfRule>
  </conditionalFormatting>
  <conditionalFormatting sqref="I69:Q75">
    <cfRule type="cellIs" dxfId="0" priority="6" operator="lessThan">
      <formula>2</formula>
    </cfRule>
  </conditionalFormatting>
  <conditionalFormatting sqref="B82:K84">
    <cfRule type="cellIs" dxfId="0" priority="7" operator="lessThan">
      <formula>2</formula>
    </cfRule>
  </conditionalFormatting>
  <conditionalFormatting sqref="B90:K91">
    <cfRule type="cellIs" dxfId="0" priority="8" operator="lessThan">
      <formula>2</formula>
    </cfRule>
  </conditionalFormatting>
  <conditionalFormatting sqref="B98:K99">
    <cfRule type="cellIs" dxfId="0" priority="9" operator="lessThan">
      <formula>2</formula>
    </cfRule>
  </conditionalFormatting>
  <conditionalFormatting sqref="B105:K106">
    <cfRule type="cellIs" dxfId="0" priority="10" operator="lessThan">
      <formula>2</formula>
    </cfRule>
  </conditionalFormatting>
  <conditionalFormatting sqref="B112:K113">
    <cfRule type="cellIs" dxfId="0" priority="11" operator="lessThan">
      <formula>2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Z1" s="71" t="s">
        <v>45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3"/>
      <c r="AL1" s="347"/>
      <c r="AM1" s="347"/>
      <c r="AN1" s="347"/>
      <c r="AO1" s="347"/>
      <c r="AP1" s="347"/>
      <c r="AQ1" s="347"/>
      <c r="AR1" s="347"/>
      <c r="AS1" s="347"/>
      <c r="AW1" s="74" t="s">
        <v>46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  <c r="BO1" s="75"/>
      <c r="BP1" s="75"/>
      <c r="BT1" s="76" t="s">
        <v>47</v>
      </c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3"/>
      <c r="CN1" s="289" t="s">
        <v>136</v>
      </c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  <c r="DB1" s="290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  <c r="Z2" s="77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9"/>
      <c r="AL2" s="347"/>
      <c r="AM2" s="347"/>
      <c r="AN2" s="347"/>
      <c r="AO2" s="347"/>
      <c r="AP2" s="347"/>
      <c r="AQ2" s="347"/>
      <c r="AR2" s="347"/>
      <c r="AS2" s="347"/>
      <c r="AW2" s="80"/>
      <c r="BN2" s="81"/>
      <c r="BO2" s="75"/>
      <c r="BP2" s="75"/>
      <c r="BT2" s="82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9"/>
      <c r="CN2" s="306"/>
      <c r="CO2" s="119"/>
      <c r="CP2" s="292" t="s">
        <v>137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8"/>
      <c r="DB2" s="290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  <c r="Z3" s="348" t="s">
        <v>48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77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9"/>
      <c r="BO3" s="75"/>
      <c r="BP3" s="75"/>
      <c r="BT3" s="83" t="s">
        <v>49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/>
      <c r="CN3" s="306"/>
      <c r="CO3" s="119"/>
      <c r="CP3" s="349" t="s">
        <v>43</v>
      </c>
      <c r="CQ3" s="326"/>
      <c r="CR3" s="326"/>
      <c r="CS3" s="326"/>
      <c r="CT3" s="326"/>
      <c r="CU3" s="326"/>
      <c r="CV3" s="326"/>
      <c r="CW3" s="326"/>
      <c r="CX3" s="327"/>
      <c r="CY3" s="299"/>
      <c r="CZ3" s="299"/>
      <c r="DA3" s="299"/>
      <c r="DB3" s="290"/>
    </row>
    <row r="4">
      <c r="A4" s="14" t="s">
        <v>13</v>
      </c>
      <c r="B4" s="15"/>
      <c r="C4" s="15"/>
      <c r="D4" s="15"/>
      <c r="E4" s="15"/>
      <c r="F4" s="15"/>
      <c r="G4" s="15"/>
      <c r="H4" s="15"/>
      <c r="I4" s="15"/>
      <c r="J4" s="16"/>
      <c r="K4" s="17">
        <f t="shared" ref="K4:K5" si="1">1</f>
        <v>1</v>
      </c>
      <c r="L4" s="18"/>
      <c r="M4" s="18"/>
      <c r="N4" s="19"/>
      <c r="O4" s="19"/>
      <c r="P4" s="19"/>
      <c r="Q4" s="19"/>
      <c r="R4" s="19"/>
      <c r="S4" s="19"/>
      <c r="T4" s="20">
        <f t="shared" ref="T4:T28" si="2">SUM(B4:S4)</f>
        <v>1</v>
      </c>
      <c r="Z4" s="84"/>
      <c r="AA4" s="85" t="s">
        <v>1</v>
      </c>
      <c r="AB4" s="7"/>
      <c r="AC4" s="7"/>
      <c r="AD4" s="7"/>
      <c r="AE4" s="7"/>
      <c r="AF4" s="7"/>
      <c r="AG4" s="7"/>
      <c r="AH4" s="7"/>
      <c r="AI4" s="8"/>
      <c r="AJ4" s="86" t="s">
        <v>2</v>
      </c>
      <c r="AK4" s="7"/>
      <c r="AL4" s="7"/>
      <c r="AM4" s="7"/>
      <c r="AN4" s="7"/>
      <c r="AO4" s="7"/>
      <c r="AP4" s="7"/>
      <c r="AQ4" s="7"/>
      <c r="AR4" s="7"/>
      <c r="AS4" s="8"/>
      <c r="AW4" s="87" t="s">
        <v>50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9"/>
      <c r="BT4" s="90"/>
      <c r="BU4" s="91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8"/>
      <c r="CN4" s="306"/>
      <c r="CO4" s="296" t="s">
        <v>3</v>
      </c>
      <c r="CP4" s="297" t="s">
        <v>4</v>
      </c>
      <c r="CQ4" s="298" t="s">
        <v>5</v>
      </c>
      <c r="CR4" s="298" t="s">
        <v>6</v>
      </c>
      <c r="CS4" s="298" t="s">
        <v>7</v>
      </c>
      <c r="CT4" s="298" t="s">
        <v>8</v>
      </c>
      <c r="CU4" s="298" t="s">
        <v>9</v>
      </c>
      <c r="CV4" s="298" t="s">
        <v>10</v>
      </c>
      <c r="CW4" s="298" t="s">
        <v>11</v>
      </c>
      <c r="CX4" s="298" t="s">
        <v>12</v>
      </c>
      <c r="CY4" s="299"/>
      <c r="CZ4" s="299"/>
      <c r="DA4" s="299"/>
      <c r="DB4" s="290"/>
    </row>
    <row r="5">
      <c r="A5" s="14" t="s">
        <v>14</v>
      </c>
      <c r="B5" s="15"/>
      <c r="C5" s="15"/>
      <c r="D5" s="15"/>
      <c r="E5" s="15"/>
      <c r="F5" s="15"/>
      <c r="G5" s="15"/>
      <c r="H5" s="15"/>
      <c r="I5" s="15"/>
      <c r="J5" s="21"/>
      <c r="K5" s="22">
        <f t="shared" si="1"/>
        <v>1</v>
      </c>
      <c r="L5" s="19"/>
      <c r="M5" s="19"/>
      <c r="N5" s="19"/>
      <c r="O5" s="19"/>
      <c r="P5" s="19"/>
      <c r="Q5" s="19"/>
      <c r="R5" s="19"/>
      <c r="S5" s="19"/>
      <c r="T5" s="20">
        <f t="shared" si="2"/>
        <v>1</v>
      </c>
      <c r="Z5" s="84" t="s">
        <v>51</v>
      </c>
      <c r="AA5" s="92">
        <v>28.0</v>
      </c>
      <c r="AB5" s="92">
        <v>30.0</v>
      </c>
      <c r="AC5" s="92">
        <v>32.0</v>
      </c>
      <c r="AD5" s="92">
        <v>34.0</v>
      </c>
      <c r="AE5" s="92">
        <v>36.0</v>
      </c>
      <c r="AF5" s="92">
        <v>38.0</v>
      </c>
      <c r="AG5" s="92">
        <v>40.0</v>
      </c>
      <c r="AH5" s="92"/>
      <c r="AI5" s="93"/>
      <c r="AJ5" s="94">
        <v>28.0</v>
      </c>
      <c r="AK5" s="95">
        <v>30.0</v>
      </c>
      <c r="AL5" s="95">
        <v>32.0</v>
      </c>
      <c r="AM5" s="95">
        <v>34.0</v>
      </c>
      <c r="AN5" s="95">
        <v>36.0</v>
      </c>
      <c r="AO5" s="95">
        <v>38.0</v>
      </c>
      <c r="AP5" s="95">
        <v>40.0</v>
      </c>
      <c r="AQ5" s="95"/>
      <c r="AR5" s="95"/>
      <c r="AS5" s="96" t="s">
        <v>52</v>
      </c>
      <c r="AW5" s="97"/>
      <c r="AX5" s="9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8"/>
      <c r="BT5" s="99"/>
      <c r="BU5" s="85" t="s">
        <v>1</v>
      </c>
      <c r="BV5" s="7"/>
      <c r="BW5" s="7"/>
      <c r="BX5" s="7"/>
      <c r="BY5" s="7"/>
      <c r="BZ5" s="7"/>
      <c r="CA5" s="7"/>
      <c r="CB5" s="7"/>
      <c r="CC5" s="8"/>
      <c r="CD5" s="100"/>
      <c r="CE5" s="100"/>
      <c r="CF5" s="86" t="s">
        <v>2</v>
      </c>
      <c r="CG5" s="7"/>
      <c r="CH5" s="7"/>
      <c r="CI5" s="7"/>
      <c r="CJ5" s="7"/>
      <c r="CK5" s="7"/>
      <c r="CL5" s="7"/>
      <c r="CM5" s="8"/>
      <c r="CN5" s="306"/>
      <c r="CO5" s="300" t="s">
        <v>13</v>
      </c>
      <c r="CP5" s="48"/>
      <c r="CQ5" s="301"/>
      <c r="CR5" s="301"/>
      <c r="CS5" s="301"/>
      <c r="CT5" s="48"/>
      <c r="CU5" s="48"/>
      <c r="CV5" s="48"/>
      <c r="CW5" s="48"/>
      <c r="CX5" s="48"/>
      <c r="CY5" s="302">
        <f t="shared" ref="CY5:CY10" si="3">SUM(CP5:CX5)</f>
        <v>0</v>
      </c>
      <c r="CZ5" s="299"/>
      <c r="DA5" s="299"/>
      <c r="DB5" s="290"/>
    </row>
    <row r="6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21"/>
      <c r="K6" s="22"/>
      <c r="L6" s="19">
        <f t="shared" ref="L6:L7" si="4">1</f>
        <v>1</v>
      </c>
      <c r="M6" s="19"/>
      <c r="N6" s="19"/>
      <c r="O6" s="19"/>
      <c r="P6" s="19"/>
      <c r="Q6" s="19"/>
      <c r="R6" s="19"/>
      <c r="S6" s="19"/>
      <c r="T6" s="20">
        <f t="shared" si="2"/>
        <v>1</v>
      </c>
      <c r="Z6" s="84"/>
      <c r="AA6" s="101" t="s">
        <v>4</v>
      </c>
      <c r="AB6" s="101" t="s">
        <v>53</v>
      </c>
      <c r="AC6" s="101" t="s">
        <v>54</v>
      </c>
      <c r="AD6" s="101" t="s">
        <v>55</v>
      </c>
      <c r="AE6" s="101" t="s">
        <v>56</v>
      </c>
      <c r="AF6" s="101" t="s">
        <v>9</v>
      </c>
      <c r="AG6" s="101" t="s">
        <v>10</v>
      </c>
      <c r="AH6" s="101" t="s">
        <v>11</v>
      </c>
      <c r="AI6" s="102" t="s">
        <v>12</v>
      </c>
      <c r="AJ6" s="103" t="s">
        <v>4</v>
      </c>
      <c r="AK6" s="100" t="s">
        <v>53</v>
      </c>
      <c r="AL6" s="100" t="s">
        <v>54</v>
      </c>
      <c r="AM6" s="100" t="s">
        <v>55</v>
      </c>
      <c r="AN6" s="100" t="s">
        <v>56</v>
      </c>
      <c r="AO6" s="100" t="s">
        <v>9</v>
      </c>
      <c r="AP6" s="100" t="s">
        <v>10</v>
      </c>
      <c r="AQ6" s="100" t="s">
        <v>11</v>
      </c>
      <c r="AR6" s="100" t="s">
        <v>12</v>
      </c>
      <c r="AS6" s="99"/>
      <c r="AW6" s="99"/>
      <c r="AX6" s="85" t="s">
        <v>1</v>
      </c>
      <c r="AY6" s="7"/>
      <c r="AZ6" s="7"/>
      <c r="BA6" s="7"/>
      <c r="BB6" s="7"/>
      <c r="BC6" s="7"/>
      <c r="BD6" s="7"/>
      <c r="BE6" s="7"/>
      <c r="BF6" s="8"/>
      <c r="BG6" s="92"/>
      <c r="BH6" s="95"/>
      <c r="BI6" s="86" t="s">
        <v>2</v>
      </c>
      <c r="BJ6" s="7"/>
      <c r="BK6" s="7"/>
      <c r="BL6" s="7"/>
      <c r="BM6" s="7"/>
      <c r="BN6" s="7"/>
      <c r="BO6" s="7"/>
      <c r="BP6" s="8"/>
      <c r="BT6" s="104" t="s">
        <v>51</v>
      </c>
      <c r="BU6" s="92">
        <v>28.0</v>
      </c>
      <c r="BV6" s="92">
        <v>30.0</v>
      </c>
      <c r="BW6" s="92">
        <v>32.0</v>
      </c>
      <c r="BX6" s="92">
        <v>34.0</v>
      </c>
      <c r="BY6" s="92">
        <v>36.0</v>
      </c>
      <c r="BZ6" s="92">
        <v>38.0</v>
      </c>
      <c r="CA6" s="92">
        <v>40.0</v>
      </c>
      <c r="CB6" s="92"/>
      <c r="CC6" s="93"/>
      <c r="CD6" s="94">
        <v>28.0</v>
      </c>
      <c r="CE6" s="95">
        <v>30.0</v>
      </c>
      <c r="CF6" s="95">
        <v>32.0</v>
      </c>
      <c r="CG6" s="95">
        <v>34.0</v>
      </c>
      <c r="CH6" s="95">
        <v>36.0</v>
      </c>
      <c r="CI6" s="95">
        <v>38.0</v>
      </c>
      <c r="CJ6" s="95">
        <v>40.0</v>
      </c>
      <c r="CK6" s="95"/>
      <c r="CL6" s="95"/>
      <c r="CM6" s="96" t="s">
        <v>52</v>
      </c>
      <c r="CN6" s="306"/>
      <c r="CO6" s="300" t="s">
        <v>14</v>
      </c>
      <c r="CP6" s="48"/>
      <c r="CQ6" s="301"/>
      <c r="CR6" s="48"/>
      <c r="CS6" s="48"/>
      <c r="CT6" s="48"/>
      <c r="CU6" s="48"/>
      <c r="CV6" s="303"/>
      <c r="CW6" s="48"/>
      <c r="CX6" s="48"/>
      <c r="CY6" s="302">
        <f t="shared" si="3"/>
        <v>0</v>
      </c>
      <c r="CZ6" s="299"/>
      <c r="DA6" s="299"/>
      <c r="DB6" s="290"/>
    </row>
    <row r="7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21"/>
      <c r="K7" s="22"/>
      <c r="L7" s="19">
        <f t="shared" si="4"/>
        <v>1</v>
      </c>
      <c r="M7" s="19"/>
      <c r="N7" s="19"/>
      <c r="O7" s="19"/>
      <c r="P7" s="19"/>
      <c r="Q7" s="19"/>
      <c r="R7" s="19"/>
      <c r="S7" s="19"/>
      <c r="T7" s="20">
        <f t="shared" si="2"/>
        <v>1</v>
      </c>
      <c r="Z7" s="84" t="s">
        <v>15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7"/>
      <c r="AK7" s="105">
        <f t="shared" ref="AK7:AK9" si="5">1</f>
        <v>1</v>
      </c>
      <c r="AL7" s="105"/>
      <c r="AM7" s="105"/>
      <c r="AN7" s="108"/>
      <c r="AO7" s="105"/>
      <c r="AP7" s="105"/>
      <c r="AQ7" s="105"/>
      <c r="AR7" s="105"/>
      <c r="AS7" s="109">
        <f t="shared" ref="AS7:AS19" si="6">SUM(AA7:AR7)</f>
        <v>1</v>
      </c>
      <c r="AW7" s="104" t="s">
        <v>51</v>
      </c>
      <c r="AX7" s="92">
        <v>28.0</v>
      </c>
      <c r="AY7" s="92">
        <v>30.0</v>
      </c>
      <c r="AZ7" s="92"/>
      <c r="BA7" s="92">
        <v>34.0</v>
      </c>
      <c r="BB7" s="92">
        <v>36.0</v>
      </c>
      <c r="BC7" s="92">
        <v>38.0</v>
      </c>
      <c r="BD7" s="92">
        <v>40.0</v>
      </c>
      <c r="BE7" s="92"/>
      <c r="BF7" s="93"/>
      <c r="BG7" s="110">
        <v>28.0</v>
      </c>
      <c r="BH7" s="95">
        <v>30.0</v>
      </c>
      <c r="BI7" s="95">
        <v>32.0</v>
      </c>
      <c r="BJ7" s="95">
        <v>34.0</v>
      </c>
      <c r="BK7" s="95">
        <v>36.0</v>
      </c>
      <c r="BL7" s="95">
        <v>38.0</v>
      </c>
      <c r="BM7" s="95">
        <v>40.0</v>
      </c>
      <c r="BN7" s="95"/>
      <c r="BO7" s="95"/>
      <c r="BP7" s="95"/>
      <c r="BT7" s="104"/>
      <c r="BU7" s="101" t="s">
        <v>4</v>
      </c>
      <c r="BV7" s="101" t="s">
        <v>53</v>
      </c>
      <c r="BW7" s="101" t="s">
        <v>54</v>
      </c>
      <c r="BX7" s="101" t="s">
        <v>55</v>
      </c>
      <c r="BY7" s="101" t="s">
        <v>56</v>
      </c>
      <c r="BZ7" s="101" t="s">
        <v>9</v>
      </c>
      <c r="CA7" s="101" t="s">
        <v>10</v>
      </c>
      <c r="CB7" s="101" t="s">
        <v>11</v>
      </c>
      <c r="CC7" s="102" t="s">
        <v>12</v>
      </c>
      <c r="CD7" s="103" t="s">
        <v>4</v>
      </c>
      <c r="CE7" s="100" t="s">
        <v>5</v>
      </c>
      <c r="CF7" s="100" t="s">
        <v>54</v>
      </c>
      <c r="CG7" s="100" t="s">
        <v>55</v>
      </c>
      <c r="CH7" s="100" t="s">
        <v>56</v>
      </c>
      <c r="CI7" s="100" t="s">
        <v>9</v>
      </c>
      <c r="CJ7" s="100" t="s">
        <v>10</v>
      </c>
      <c r="CK7" s="100" t="s">
        <v>11</v>
      </c>
      <c r="CL7" s="100" t="s">
        <v>12</v>
      </c>
      <c r="CM7" s="99"/>
      <c r="CN7" s="306"/>
      <c r="CO7" s="300" t="s">
        <v>44</v>
      </c>
      <c r="CP7" s="48"/>
      <c r="CQ7" s="301"/>
      <c r="CR7" s="48"/>
      <c r="CS7" s="301"/>
      <c r="CT7" s="48"/>
      <c r="CU7" s="303"/>
      <c r="CV7" s="48"/>
      <c r="CW7" s="48"/>
      <c r="CX7" s="48"/>
      <c r="CY7" s="302">
        <f t="shared" si="3"/>
        <v>0</v>
      </c>
      <c r="CZ7" s="299"/>
      <c r="DA7" s="299"/>
      <c r="DB7" s="290"/>
    </row>
    <row r="8">
      <c r="A8" s="14" t="s">
        <v>17</v>
      </c>
      <c r="B8" s="15"/>
      <c r="C8" s="15"/>
      <c r="D8" s="15"/>
      <c r="E8" s="15">
        <f>1</f>
        <v>1</v>
      </c>
      <c r="F8" s="15"/>
      <c r="G8" s="15"/>
      <c r="H8" s="15"/>
      <c r="I8" s="15"/>
      <c r="J8" s="21"/>
      <c r="K8" s="22"/>
      <c r="L8" s="19"/>
      <c r="M8" s="19"/>
      <c r="N8" s="19"/>
      <c r="O8" s="19"/>
      <c r="P8" s="19"/>
      <c r="Q8" s="19"/>
      <c r="R8" s="19"/>
      <c r="S8" s="19"/>
      <c r="T8" s="20">
        <f t="shared" si="2"/>
        <v>1</v>
      </c>
      <c r="Z8" s="84" t="s">
        <v>14</v>
      </c>
      <c r="AA8" s="105"/>
      <c r="AB8" s="105"/>
      <c r="AC8" s="105"/>
      <c r="AD8" s="105"/>
      <c r="AE8" s="105"/>
      <c r="AF8" s="108"/>
      <c r="AG8" s="108"/>
      <c r="AH8" s="105"/>
      <c r="AI8" s="106"/>
      <c r="AJ8" s="107"/>
      <c r="AK8" s="105">
        <f t="shared" si="5"/>
        <v>1</v>
      </c>
      <c r="AL8" s="105"/>
      <c r="AM8" s="105"/>
      <c r="AN8" s="105"/>
      <c r="AO8" s="105"/>
      <c r="AP8" s="105"/>
      <c r="AQ8" s="105"/>
      <c r="AR8" s="105"/>
      <c r="AS8" s="109">
        <f t="shared" si="6"/>
        <v>1</v>
      </c>
      <c r="AW8" s="104"/>
      <c r="AX8" s="111" t="s">
        <v>4</v>
      </c>
      <c r="AY8" s="111" t="s">
        <v>53</v>
      </c>
      <c r="AZ8" s="111" t="s">
        <v>54</v>
      </c>
      <c r="BA8" s="111" t="s">
        <v>55</v>
      </c>
      <c r="BB8" s="111" t="s">
        <v>56</v>
      </c>
      <c r="BC8" s="111" t="s">
        <v>9</v>
      </c>
      <c r="BD8" s="111" t="s">
        <v>10</v>
      </c>
      <c r="BE8" s="111" t="s">
        <v>11</v>
      </c>
      <c r="BF8" s="112" t="s">
        <v>12</v>
      </c>
      <c r="BG8" s="113" t="s">
        <v>4</v>
      </c>
      <c r="BH8" s="111" t="s">
        <v>53</v>
      </c>
      <c r="BI8" s="111" t="s">
        <v>54</v>
      </c>
      <c r="BJ8" s="111" t="s">
        <v>55</v>
      </c>
      <c r="BK8" s="111" t="s">
        <v>56</v>
      </c>
      <c r="BL8" s="111" t="s">
        <v>9</v>
      </c>
      <c r="BM8" s="111" t="s">
        <v>10</v>
      </c>
      <c r="BN8" s="111" t="s">
        <v>11</v>
      </c>
      <c r="BO8" s="111" t="s">
        <v>12</v>
      </c>
      <c r="BP8" s="114" t="s">
        <v>52</v>
      </c>
      <c r="BT8" s="115" t="s">
        <v>13</v>
      </c>
      <c r="BU8" s="108">
        <f>1</f>
        <v>1</v>
      </c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14">
        <f t="shared" ref="CM8:CM10" si="7">SUM(BU8:CL8)</f>
        <v>1</v>
      </c>
      <c r="CN8" s="306"/>
      <c r="CO8" s="300" t="s">
        <v>16</v>
      </c>
      <c r="CP8" s="301"/>
      <c r="CQ8" s="48"/>
      <c r="CR8" s="48"/>
      <c r="CS8" s="48"/>
      <c r="CT8" s="303"/>
      <c r="CU8" s="48"/>
      <c r="CV8" s="48"/>
      <c r="CW8" s="303"/>
      <c r="CX8" s="48"/>
      <c r="CY8" s="302">
        <f t="shared" si="3"/>
        <v>0</v>
      </c>
      <c r="CZ8" s="299" t="s">
        <v>60</v>
      </c>
      <c r="DA8" s="299"/>
      <c r="DB8" s="290"/>
    </row>
    <row r="9">
      <c r="A9" s="14" t="s">
        <v>18</v>
      </c>
      <c r="B9" s="15"/>
      <c r="C9" s="15"/>
      <c r="D9" s="15"/>
      <c r="E9" s="15"/>
      <c r="F9" s="15"/>
      <c r="G9" s="15">
        <f>1</f>
        <v>1</v>
      </c>
      <c r="H9" s="15"/>
      <c r="I9" s="15"/>
      <c r="J9" s="21"/>
      <c r="K9" s="22"/>
      <c r="L9" s="19"/>
      <c r="M9" s="19"/>
      <c r="N9" s="19"/>
      <c r="O9" s="19"/>
      <c r="P9" s="22"/>
      <c r="Q9" s="19"/>
      <c r="R9" s="19"/>
      <c r="S9" s="19"/>
      <c r="T9" s="20">
        <f t="shared" si="2"/>
        <v>1</v>
      </c>
      <c r="Z9" s="84" t="s">
        <v>57</v>
      </c>
      <c r="AA9" s="105"/>
      <c r="AB9" s="105"/>
      <c r="AC9" s="105"/>
      <c r="AD9" s="105"/>
      <c r="AE9" s="105"/>
      <c r="AF9" s="105"/>
      <c r="AG9" s="105"/>
      <c r="AH9" s="105"/>
      <c r="AI9" s="106"/>
      <c r="AJ9" s="107"/>
      <c r="AK9" s="105">
        <f t="shared" si="5"/>
        <v>1</v>
      </c>
      <c r="AL9" s="105"/>
      <c r="AM9" s="105"/>
      <c r="AN9" s="105"/>
      <c r="AO9" s="105"/>
      <c r="AP9" s="105"/>
      <c r="AQ9" s="105"/>
      <c r="AR9" s="105"/>
      <c r="AS9" s="109">
        <f t="shared" si="6"/>
        <v>1</v>
      </c>
      <c r="AW9" s="116" t="s">
        <v>13</v>
      </c>
      <c r="AX9" s="108"/>
      <c r="AY9" s="108"/>
      <c r="AZ9" s="108"/>
      <c r="BA9" s="108">
        <f>1</f>
        <v>1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14">
        <f t="shared" ref="BP9:BP11" si="8">SUM(AX9:BO9)</f>
        <v>1</v>
      </c>
      <c r="BT9" s="117" t="s">
        <v>58</v>
      </c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>
        <f>1</f>
        <v>1</v>
      </c>
      <c r="CH9" s="108"/>
      <c r="CI9" s="108"/>
      <c r="CJ9" s="108"/>
      <c r="CK9" s="108"/>
      <c r="CL9" s="108"/>
      <c r="CM9" s="114">
        <f t="shared" si="7"/>
        <v>1</v>
      </c>
      <c r="CN9" s="306"/>
      <c r="CO9" s="300" t="s">
        <v>138</v>
      </c>
      <c r="CP9" s="303"/>
      <c r="CQ9" s="48"/>
      <c r="CR9" s="48"/>
      <c r="CS9" s="303"/>
      <c r="CT9" s="48"/>
      <c r="CU9" s="48"/>
      <c r="CV9" s="48"/>
      <c r="CW9" s="48"/>
      <c r="CX9" s="48"/>
      <c r="CY9" s="302">
        <f t="shared" si="3"/>
        <v>0</v>
      </c>
      <c r="CZ9" s="299"/>
      <c r="DA9" s="299"/>
      <c r="DB9" s="290"/>
    </row>
    <row r="10">
      <c r="A10" s="14" t="s">
        <v>19</v>
      </c>
      <c r="B10" s="15"/>
      <c r="C10" s="15"/>
      <c r="D10" s="15"/>
      <c r="E10" s="15"/>
      <c r="F10" s="15">
        <f>1</f>
        <v>1</v>
      </c>
      <c r="G10" s="15"/>
      <c r="H10" s="15"/>
      <c r="I10" s="15"/>
      <c r="J10" s="21"/>
      <c r="K10" s="22"/>
      <c r="L10" s="19"/>
      <c r="M10" s="19"/>
      <c r="N10" s="19"/>
      <c r="O10" s="19"/>
      <c r="P10" s="23"/>
      <c r="Q10" s="24"/>
      <c r="R10" s="19"/>
      <c r="S10" s="19"/>
      <c r="T10" s="20">
        <f t="shared" si="2"/>
        <v>1</v>
      </c>
      <c r="Z10" s="84" t="s">
        <v>59</v>
      </c>
      <c r="AA10" s="105"/>
      <c r="AB10" s="105"/>
      <c r="AC10" s="105"/>
      <c r="AD10" s="105">
        <f>1</f>
        <v>1</v>
      </c>
      <c r="AE10" s="105"/>
      <c r="AF10" s="105"/>
      <c r="AG10" s="105"/>
      <c r="AH10" s="105"/>
      <c r="AI10" s="106"/>
      <c r="AJ10" s="107"/>
      <c r="AK10" s="105"/>
      <c r="AL10" s="118"/>
      <c r="AM10" s="118"/>
      <c r="AN10" s="118"/>
      <c r="AO10" s="108"/>
      <c r="AP10" s="118"/>
      <c r="AQ10" s="118"/>
      <c r="AR10" s="118"/>
      <c r="AS10" s="109">
        <f t="shared" si="6"/>
        <v>1</v>
      </c>
      <c r="AW10" s="116" t="s">
        <v>14</v>
      </c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>
        <f>1</f>
        <v>1</v>
      </c>
      <c r="BJ10" s="108"/>
      <c r="BK10" s="108"/>
      <c r="BL10" s="108"/>
      <c r="BM10" s="108"/>
      <c r="BN10" s="108"/>
      <c r="BO10" s="108"/>
      <c r="BP10" s="114">
        <f t="shared" si="8"/>
        <v>1</v>
      </c>
      <c r="BT10" s="115" t="s">
        <v>16</v>
      </c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14">
        <f t="shared" si="7"/>
        <v>0</v>
      </c>
      <c r="CN10" s="306"/>
      <c r="CO10" s="300" t="s">
        <v>41</v>
      </c>
      <c r="CP10" s="48"/>
      <c r="CQ10" s="48"/>
      <c r="CR10" s="303">
        <f>1</f>
        <v>1</v>
      </c>
      <c r="CS10" s="303"/>
      <c r="CT10" s="48"/>
      <c r="CU10" s="48"/>
      <c r="CV10" s="48"/>
      <c r="CW10" s="48"/>
      <c r="CX10" s="303"/>
      <c r="CY10" s="302">
        <f t="shared" si="3"/>
        <v>1</v>
      </c>
      <c r="CZ10" s="299"/>
      <c r="DA10" s="299"/>
      <c r="DB10" s="290"/>
    </row>
    <row r="11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21"/>
      <c r="K11" s="22">
        <f>1</f>
        <v>1</v>
      </c>
      <c r="L11" s="19"/>
      <c r="M11" s="19"/>
      <c r="N11" s="19"/>
      <c r="O11" s="19"/>
      <c r="P11" s="19"/>
      <c r="Q11" s="19"/>
      <c r="R11" s="19"/>
      <c r="S11" s="19"/>
      <c r="T11" s="20">
        <f t="shared" si="2"/>
        <v>1</v>
      </c>
      <c r="Z11" s="84" t="s">
        <v>13</v>
      </c>
      <c r="AA11" s="105"/>
      <c r="AB11" s="108"/>
      <c r="AC11" s="105"/>
      <c r="AD11" s="105"/>
      <c r="AE11" s="105"/>
      <c r="AF11" s="105"/>
      <c r="AG11" s="105"/>
      <c r="AH11" s="105"/>
      <c r="AI11" s="106"/>
      <c r="AJ11" s="107"/>
      <c r="AK11" s="105">
        <f t="shared" ref="AK11:AK14" si="9">1</f>
        <v>1</v>
      </c>
      <c r="AL11" s="118"/>
      <c r="AM11" s="118"/>
      <c r="AN11" s="118"/>
      <c r="AO11" s="118"/>
      <c r="AP11" s="118"/>
      <c r="AQ11" s="118"/>
      <c r="AR11" s="118"/>
      <c r="AS11" s="109">
        <f t="shared" si="6"/>
        <v>1</v>
      </c>
      <c r="AW11" s="116" t="s">
        <v>16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14">
        <f t="shared" si="8"/>
        <v>0</v>
      </c>
      <c r="BT11" s="119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1">
        <f>SUM(CM8:CM10)</f>
        <v>2</v>
      </c>
      <c r="CN11" s="306"/>
      <c r="CO11" s="119"/>
      <c r="CP11" s="304"/>
      <c r="CQ11" s="304"/>
      <c r="CR11" s="304"/>
      <c r="CS11" s="304"/>
      <c r="CT11" s="304"/>
      <c r="CU11" s="304"/>
      <c r="CV11" s="304"/>
      <c r="CW11" s="304"/>
      <c r="CX11" s="304"/>
      <c r="CY11" s="305">
        <f>SUM(CY5:CY10)</f>
        <v>1</v>
      </c>
      <c r="CZ11" s="299"/>
      <c r="DA11" s="299"/>
      <c r="DB11" s="290"/>
    </row>
    <row r="12">
      <c r="A12" s="14" t="s">
        <v>21</v>
      </c>
      <c r="B12" s="15"/>
      <c r="C12" s="15"/>
      <c r="D12" s="15"/>
      <c r="E12" s="15"/>
      <c r="F12" s="15">
        <f>1</f>
        <v>1</v>
      </c>
      <c r="G12" s="15"/>
      <c r="H12" s="15"/>
      <c r="I12" s="15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0">
        <f t="shared" si="2"/>
        <v>1</v>
      </c>
      <c r="Z12" s="84" t="s">
        <v>29</v>
      </c>
      <c r="AA12" s="108"/>
      <c r="AB12" s="105"/>
      <c r="AC12" s="105"/>
      <c r="AD12" s="105"/>
      <c r="AE12" s="105"/>
      <c r="AF12" s="105"/>
      <c r="AG12" s="105"/>
      <c r="AH12" s="105"/>
      <c r="AI12" s="106"/>
      <c r="AJ12" s="107"/>
      <c r="AK12" s="105">
        <f t="shared" si="9"/>
        <v>1</v>
      </c>
      <c r="AL12" s="105"/>
      <c r="AM12" s="108"/>
      <c r="AN12" s="108"/>
      <c r="AO12" s="118"/>
      <c r="AP12" s="118"/>
      <c r="AQ12" s="118"/>
      <c r="AR12" s="118"/>
      <c r="AS12" s="109">
        <f t="shared" si="6"/>
        <v>1</v>
      </c>
      <c r="AW12" s="119" t="s">
        <v>60</v>
      </c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2">
        <f>SUM(BP9:BP11)</f>
        <v>2</v>
      </c>
      <c r="BT12" s="119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3"/>
      <c r="CN12" s="306"/>
      <c r="CO12" s="11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0"/>
    </row>
    <row r="13">
      <c r="A13" s="14" t="s">
        <v>22</v>
      </c>
      <c r="B13" s="15"/>
      <c r="C13" s="15"/>
      <c r="D13" s="15"/>
      <c r="E13" s="15">
        <f>1</f>
        <v>1</v>
      </c>
      <c r="F13" s="15"/>
      <c r="G13" s="15"/>
      <c r="H13" s="15"/>
      <c r="I13" s="15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0">
        <f t="shared" si="2"/>
        <v>1</v>
      </c>
      <c r="Z13" s="84" t="s">
        <v>61</v>
      </c>
      <c r="AA13" s="105"/>
      <c r="AB13" s="105"/>
      <c r="AC13" s="105"/>
      <c r="AD13" s="105"/>
      <c r="AE13" s="105"/>
      <c r="AF13" s="105"/>
      <c r="AG13" s="105"/>
      <c r="AH13" s="105"/>
      <c r="AI13" s="106"/>
      <c r="AJ13" s="107"/>
      <c r="AK13" s="105">
        <f t="shared" si="9"/>
        <v>1</v>
      </c>
      <c r="AL13" s="118"/>
      <c r="AM13" s="118"/>
      <c r="AN13" s="118"/>
      <c r="AO13" s="105"/>
      <c r="AP13" s="105"/>
      <c r="AQ13" s="118"/>
      <c r="AR13" s="118"/>
      <c r="AS13" s="109">
        <f t="shared" si="6"/>
        <v>1</v>
      </c>
      <c r="AW13" s="124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T13" s="83" t="s">
        <v>62</v>
      </c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"/>
      <c r="CN13" s="306"/>
      <c r="CO13" s="119"/>
      <c r="CP13" s="292" t="s">
        <v>139</v>
      </c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8"/>
      <c r="DB13" s="290"/>
    </row>
    <row r="14">
      <c r="A14" s="14" t="s">
        <v>162</v>
      </c>
      <c r="B14" s="15"/>
      <c r="C14" s="15"/>
      <c r="D14" s="15"/>
      <c r="E14" s="15"/>
      <c r="F14" s="15">
        <f t="shared" ref="F14:F15" si="10">1</f>
        <v>1</v>
      </c>
      <c r="G14" s="15"/>
      <c r="H14" s="15"/>
      <c r="I14" s="1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>
        <f t="shared" si="2"/>
        <v>1</v>
      </c>
      <c r="Z14" s="84" t="s">
        <v>63</v>
      </c>
      <c r="AA14" s="105"/>
      <c r="AB14" s="105"/>
      <c r="AC14" s="105"/>
      <c r="AD14" s="105"/>
      <c r="AE14" s="105"/>
      <c r="AF14" s="105"/>
      <c r="AG14" s="105"/>
      <c r="AH14" s="105"/>
      <c r="AI14" s="106"/>
      <c r="AJ14" s="107"/>
      <c r="AK14" s="105">
        <f t="shared" si="9"/>
        <v>1</v>
      </c>
      <c r="AL14" s="118"/>
      <c r="AM14" s="118"/>
      <c r="AN14" s="118"/>
      <c r="AO14" s="118"/>
      <c r="AP14" s="105"/>
      <c r="AQ14" s="118"/>
      <c r="AR14" s="118"/>
      <c r="AS14" s="109">
        <f t="shared" si="6"/>
        <v>1</v>
      </c>
      <c r="AW14" s="127" t="s">
        <v>64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9"/>
      <c r="BT14" s="90"/>
      <c r="BU14" s="91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"/>
      <c r="CN14" s="306"/>
      <c r="CO14" s="119"/>
      <c r="CP14" s="349" t="s">
        <v>43</v>
      </c>
      <c r="CQ14" s="326"/>
      <c r="CR14" s="326"/>
      <c r="CS14" s="326"/>
      <c r="CT14" s="326"/>
      <c r="CU14" s="326"/>
      <c r="CV14" s="326"/>
      <c r="CW14" s="326"/>
      <c r="CX14" s="327"/>
      <c r="CY14" s="299"/>
      <c r="CZ14" s="299"/>
      <c r="DA14" s="299"/>
      <c r="DB14" s="290"/>
    </row>
    <row r="15">
      <c r="A15" s="14" t="s">
        <v>24</v>
      </c>
      <c r="B15" s="15"/>
      <c r="C15" s="15"/>
      <c r="D15" s="15"/>
      <c r="E15" s="15"/>
      <c r="F15" s="26">
        <f t="shared" si="10"/>
        <v>1</v>
      </c>
      <c r="G15" s="15"/>
      <c r="H15" s="15"/>
      <c r="I15" s="15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0">
        <f t="shared" si="2"/>
        <v>1</v>
      </c>
      <c r="Z15" s="84" t="s">
        <v>19</v>
      </c>
      <c r="AA15" s="105"/>
      <c r="AB15" s="105"/>
      <c r="AC15" s="105"/>
      <c r="AD15" s="105">
        <f>1</f>
        <v>1</v>
      </c>
      <c r="AE15" s="105"/>
      <c r="AF15" s="105"/>
      <c r="AG15" s="105"/>
      <c r="AH15" s="105"/>
      <c r="AI15" s="106"/>
      <c r="AJ15" s="107"/>
      <c r="AK15" s="105"/>
      <c r="AL15" s="105"/>
      <c r="AM15" s="105"/>
      <c r="AN15" s="105"/>
      <c r="AO15" s="105"/>
      <c r="AP15" s="105"/>
      <c r="AQ15" s="105"/>
      <c r="AR15" s="105"/>
      <c r="AS15" s="109">
        <f t="shared" si="6"/>
        <v>1</v>
      </c>
      <c r="AW15" s="90"/>
      <c r="AX15" s="98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8"/>
      <c r="BT15" s="99"/>
      <c r="BU15" s="85" t="s">
        <v>1</v>
      </c>
      <c r="BV15" s="7"/>
      <c r="BW15" s="7"/>
      <c r="BX15" s="7"/>
      <c r="BY15" s="7"/>
      <c r="BZ15" s="7"/>
      <c r="CA15" s="7"/>
      <c r="CB15" s="7"/>
      <c r="CC15" s="8"/>
      <c r="CD15" s="100"/>
      <c r="CE15" s="100"/>
      <c r="CF15" s="86" t="s">
        <v>2</v>
      </c>
      <c r="CG15" s="7"/>
      <c r="CH15" s="7"/>
      <c r="CI15" s="7"/>
      <c r="CJ15" s="7"/>
      <c r="CK15" s="7"/>
      <c r="CL15" s="7"/>
      <c r="CM15" s="8"/>
      <c r="CN15" s="306"/>
      <c r="CO15" s="296" t="s">
        <v>3</v>
      </c>
      <c r="CP15" s="308" t="s">
        <v>4</v>
      </c>
      <c r="CQ15" s="309" t="s">
        <v>5</v>
      </c>
      <c r="CR15" s="309" t="s">
        <v>6</v>
      </c>
      <c r="CS15" s="309" t="s">
        <v>7</v>
      </c>
      <c r="CT15" s="309" t="s">
        <v>8</v>
      </c>
      <c r="CU15" s="309" t="s">
        <v>9</v>
      </c>
      <c r="CV15" s="309" t="s">
        <v>10</v>
      </c>
      <c r="CW15" s="309" t="s">
        <v>11</v>
      </c>
      <c r="CX15" s="309" t="s">
        <v>12</v>
      </c>
      <c r="CY15" s="299"/>
      <c r="CZ15" s="299"/>
      <c r="DA15" s="299"/>
      <c r="DB15" s="290"/>
    </row>
    <row r="16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0">
        <f t="shared" si="2"/>
        <v>0</v>
      </c>
      <c r="Z16" s="84" t="s">
        <v>17</v>
      </c>
      <c r="AA16" s="105"/>
      <c r="AB16" s="105"/>
      <c r="AC16" s="105"/>
      <c r="AD16" s="105"/>
      <c r="AE16" s="105"/>
      <c r="AF16" s="105"/>
      <c r="AG16" s="105"/>
      <c r="AH16" s="105"/>
      <c r="AI16" s="106"/>
      <c r="AJ16" s="107"/>
      <c r="AK16" s="108">
        <f>1</f>
        <v>1</v>
      </c>
      <c r="AL16" s="118"/>
      <c r="AM16" s="118"/>
      <c r="AN16" s="118"/>
      <c r="AO16" s="118"/>
      <c r="AP16" s="118"/>
      <c r="AQ16" s="118"/>
      <c r="AR16" s="118"/>
      <c r="AS16" s="109">
        <f t="shared" si="6"/>
        <v>1</v>
      </c>
      <c r="AW16" s="99"/>
      <c r="AX16" s="85" t="s">
        <v>1</v>
      </c>
      <c r="AY16" s="7"/>
      <c r="AZ16" s="7"/>
      <c r="BA16" s="7"/>
      <c r="BB16" s="7"/>
      <c r="BC16" s="7"/>
      <c r="BD16" s="7"/>
      <c r="BE16" s="7"/>
      <c r="BF16" s="8"/>
      <c r="BG16" s="95"/>
      <c r="BH16" s="95"/>
      <c r="BI16" s="86" t="s">
        <v>2</v>
      </c>
      <c r="BJ16" s="7"/>
      <c r="BK16" s="7"/>
      <c r="BL16" s="7"/>
      <c r="BM16" s="7"/>
      <c r="BN16" s="7"/>
      <c r="BO16" s="7"/>
      <c r="BP16" s="8"/>
      <c r="BT16" s="104" t="s">
        <v>51</v>
      </c>
      <c r="BU16" s="92">
        <v>28.0</v>
      </c>
      <c r="BV16" s="92">
        <v>30.0</v>
      </c>
      <c r="BW16" s="92">
        <v>32.0</v>
      </c>
      <c r="BX16" s="92">
        <v>34.0</v>
      </c>
      <c r="BY16" s="92">
        <v>36.0</v>
      </c>
      <c r="BZ16" s="92">
        <v>38.0</v>
      </c>
      <c r="CA16" s="92">
        <v>40.0</v>
      </c>
      <c r="CB16" s="92"/>
      <c r="CC16" s="93"/>
      <c r="CD16" s="94">
        <v>28.0</v>
      </c>
      <c r="CE16" s="95">
        <v>30.0</v>
      </c>
      <c r="CF16" s="95">
        <v>32.0</v>
      </c>
      <c r="CG16" s="95">
        <v>34.0</v>
      </c>
      <c r="CH16" s="95">
        <v>36.0</v>
      </c>
      <c r="CI16" s="95">
        <v>38.0</v>
      </c>
      <c r="CJ16" s="95">
        <v>40.0</v>
      </c>
      <c r="CK16" s="95"/>
      <c r="CL16" s="95"/>
      <c r="CM16" s="96" t="s">
        <v>52</v>
      </c>
      <c r="CN16" s="306"/>
      <c r="CO16" s="300" t="s">
        <v>13</v>
      </c>
      <c r="CP16" s="48"/>
      <c r="CQ16" s="48"/>
      <c r="CR16" s="48"/>
      <c r="CS16" s="48"/>
      <c r="CT16" s="48"/>
      <c r="CU16" s="48"/>
      <c r="CV16" s="48"/>
      <c r="CW16" s="48"/>
      <c r="CX16" s="48"/>
      <c r="CY16" s="310">
        <f t="shared" ref="CY16:CY21" si="11">SUM(CP16:CX16)</f>
        <v>0</v>
      </c>
      <c r="CZ16" s="299"/>
      <c r="DA16" s="299"/>
      <c r="DB16" s="290"/>
    </row>
    <row r="17">
      <c r="A17" s="14" t="s">
        <v>26</v>
      </c>
      <c r="B17" s="15"/>
      <c r="C17" s="15"/>
      <c r="D17" s="15">
        <f>1</f>
        <v>1</v>
      </c>
      <c r="E17" s="15"/>
      <c r="F17" s="15"/>
      <c r="G17" s="15"/>
      <c r="H17" s="15"/>
      <c r="I17" s="15"/>
      <c r="J17" s="21"/>
      <c r="K17" s="22"/>
      <c r="L17" s="19"/>
      <c r="M17" s="19"/>
      <c r="N17" s="19"/>
      <c r="O17" s="19"/>
      <c r="P17" s="22"/>
      <c r="Q17" s="22"/>
      <c r="R17" s="19"/>
      <c r="S17" s="19"/>
      <c r="T17" s="20">
        <f t="shared" si="2"/>
        <v>1</v>
      </c>
      <c r="Z17" s="84" t="s">
        <v>65</v>
      </c>
      <c r="AA17" s="105"/>
      <c r="AB17" s="105"/>
      <c r="AC17" s="105"/>
      <c r="AD17" s="105"/>
      <c r="AE17" s="105"/>
      <c r="AF17" s="105"/>
      <c r="AG17" s="105"/>
      <c r="AH17" s="105"/>
      <c r="AI17" s="106"/>
      <c r="AJ17" s="107"/>
      <c r="AK17" s="105"/>
      <c r="AL17" s="105">
        <f>1</f>
        <v>1</v>
      </c>
      <c r="AM17" s="105"/>
      <c r="AN17" s="105"/>
      <c r="AO17" s="105"/>
      <c r="AP17" s="105"/>
      <c r="AQ17" s="105"/>
      <c r="AR17" s="105"/>
      <c r="AS17" s="109">
        <f t="shared" si="6"/>
        <v>1</v>
      </c>
      <c r="AW17" s="104" t="s">
        <v>51</v>
      </c>
      <c r="AX17" s="92">
        <v>28.0</v>
      </c>
      <c r="AY17" s="92">
        <v>30.0</v>
      </c>
      <c r="AZ17" s="92">
        <v>32.0</v>
      </c>
      <c r="BA17" s="92">
        <v>34.0</v>
      </c>
      <c r="BB17" s="92">
        <v>36.0</v>
      </c>
      <c r="BC17" s="92">
        <v>38.0</v>
      </c>
      <c r="BD17" s="92">
        <v>40.0</v>
      </c>
      <c r="BE17" s="92"/>
      <c r="BF17" s="92"/>
      <c r="BG17" s="95">
        <v>28.0</v>
      </c>
      <c r="BH17" s="95">
        <v>30.0</v>
      </c>
      <c r="BI17" s="95">
        <v>32.0</v>
      </c>
      <c r="BJ17" s="95">
        <v>34.0</v>
      </c>
      <c r="BK17" s="95">
        <v>36.0</v>
      </c>
      <c r="BL17" s="95">
        <v>38.0</v>
      </c>
      <c r="BM17" s="95">
        <v>40.0</v>
      </c>
      <c r="BN17" s="95"/>
      <c r="BO17" s="95"/>
      <c r="BP17" s="95"/>
      <c r="BT17" s="104"/>
      <c r="BU17" s="101" t="s">
        <v>4</v>
      </c>
      <c r="BV17" s="101" t="s">
        <v>53</v>
      </c>
      <c r="BW17" s="101" t="s">
        <v>54</v>
      </c>
      <c r="BX17" s="101" t="s">
        <v>55</v>
      </c>
      <c r="BY17" s="101" t="s">
        <v>56</v>
      </c>
      <c r="BZ17" s="101" t="s">
        <v>9</v>
      </c>
      <c r="CA17" s="101" t="s">
        <v>10</v>
      </c>
      <c r="CB17" s="101" t="s">
        <v>11</v>
      </c>
      <c r="CC17" s="102" t="s">
        <v>12</v>
      </c>
      <c r="CD17" s="103" t="s">
        <v>4</v>
      </c>
      <c r="CE17" s="100" t="s">
        <v>5</v>
      </c>
      <c r="CF17" s="100" t="s">
        <v>54</v>
      </c>
      <c r="CG17" s="100" t="s">
        <v>55</v>
      </c>
      <c r="CH17" s="100" t="s">
        <v>56</v>
      </c>
      <c r="CI17" s="100" t="s">
        <v>9</v>
      </c>
      <c r="CJ17" s="100" t="s">
        <v>10</v>
      </c>
      <c r="CK17" s="100" t="s">
        <v>11</v>
      </c>
      <c r="CL17" s="100" t="s">
        <v>12</v>
      </c>
      <c r="CM17" s="99"/>
      <c r="CN17" s="306"/>
      <c r="CO17" s="300" t="s">
        <v>14</v>
      </c>
      <c r="CP17" s="48"/>
      <c r="CQ17" s="48"/>
      <c r="CR17" s="48"/>
      <c r="CS17" s="48"/>
      <c r="CT17" s="48"/>
      <c r="CU17" s="48"/>
      <c r="CV17" s="48"/>
      <c r="CW17" s="48"/>
      <c r="CX17" s="48"/>
      <c r="CY17" s="310">
        <f t="shared" si="11"/>
        <v>0</v>
      </c>
      <c r="CZ17" s="299"/>
      <c r="DA17" s="299"/>
      <c r="DB17" s="290"/>
    </row>
    <row r="18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0">
        <f t="shared" si="2"/>
        <v>0</v>
      </c>
      <c r="Z18" s="84" t="s">
        <v>66</v>
      </c>
      <c r="AA18" s="105"/>
      <c r="AB18" s="105"/>
      <c r="AC18" s="105"/>
      <c r="AD18" s="105">
        <f t="shared" ref="AD18:AD19" si="12">1</f>
        <v>1</v>
      </c>
      <c r="AE18" s="105"/>
      <c r="AF18" s="105"/>
      <c r="AG18" s="105"/>
      <c r="AH18" s="105"/>
      <c r="AI18" s="106"/>
      <c r="AJ18" s="107"/>
      <c r="AK18" s="105">
        <f>1</f>
        <v>1</v>
      </c>
      <c r="AL18" s="105"/>
      <c r="AM18" s="105"/>
      <c r="AN18" s="105"/>
      <c r="AO18" s="105"/>
      <c r="AP18" s="105"/>
      <c r="AQ18" s="105"/>
      <c r="AR18" s="105"/>
      <c r="AS18" s="109">
        <f t="shared" si="6"/>
        <v>2</v>
      </c>
      <c r="AW18" s="104"/>
      <c r="AX18" s="111" t="s">
        <v>4</v>
      </c>
      <c r="AY18" s="111" t="s">
        <v>53</v>
      </c>
      <c r="AZ18" s="111" t="s">
        <v>54</v>
      </c>
      <c r="BA18" s="111" t="s">
        <v>55</v>
      </c>
      <c r="BB18" s="111" t="s">
        <v>56</v>
      </c>
      <c r="BC18" s="111" t="s">
        <v>9</v>
      </c>
      <c r="BD18" s="111" t="s">
        <v>10</v>
      </c>
      <c r="BE18" s="111" t="s">
        <v>11</v>
      </c>
      <c r="BF18" s="112" t="s">
        <v>12</v>
      </c>
      <c r="BG18" s="113" t="s">
        <v>4</v>
      </c>
      <c r="BH18" s="111" t="s">
        <v>5</v>
      </c>
      <c r="BI18" s="111" t="s">
        <v>54</v>
      </c>
      <c r="BJ18" s="111" t="s">
        <v>55</v>
      </c>
      <c r="BK18" s="111" t="s">
        <v>56</v>
      </c>
      <c r="BL18" s="111" t="s">
        <v>9</v>
      </c>
      <c r="BM18" s="111" t="s">
        <v>10</v>
      </c>
      <c r="BN18" s="111" t="s">
        <v>11</v>
      </c>
      <c r="BO18" s="111" t="s">
        <v>12</v>
      </c>
      <c r="BP18" s="114" t="s">
        <v>52</v>
      </c>
      <c r="BT18" s="104" t="s">
        <v>13</v>
      </c>
      <c r="BU18" s="108"/>
      <c r="BV18" s="108"/>
      <c r="BW18" s="108"/>
      <c r="BX18" s="108">
        <f>1</f>
        <v>1</v>
      </c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14">
        <f t="shared" ref="CM18:CM19" si="13">SUM(BU18:CL18)</f>
        <v>1</v>
      </c>
      <c r="CN18" s="306"/>
      <c r="CO18" s="300" t="s">
        <v>140</v>
      </c>
      <c r="CP18" s="48"/>
      <c r="CQ18" s="48"/>
      <c r="CR18" s="48"/>
      <c r="CS18" s="48"/>
      <c r="CT18" s="48"/>
      <c r="CU18" s="48"/>
      <c r="CV18" s="48"/>
      <c r="CW18" s="48"/>
      <c r="CX18" s="48"/>
      <c r="CY18" s="310">
        <f t="shared" si="11"/>
        <v>0</v>
      </c>
      <c r="CZ18" s="299"/>
      <c r="DA18" s="299"/>
      <c r="DB18" s="290"/>
    </row>
    <row r="19">
      <c r="A19" s="14" t="s">
        <v>28</v>
      </c>
      <c r="B19" s="15"/>
      <c r="C19" s="15"/>
      <c r="D19" s="15"/>
      <c r="E19" s="15"/>
      <c r="F19" s="15"/>
      <c r="G19" s="15"/>
      <c r="H19" s="15"/>
      <c r="I19" s="15"/>
      <c r="J19" s="21"/>
      <c r="K19" s="22">
        <f t="shared" ref="K19:K20" si="14">1</f>
        <v>1</v>
      </c>
      <c r="L19" s="19"/>
      <c r="M19" s="19"/>
      <c r="N19" s="19"/>
      <c r="O19" s="19"/>
      <c r="P19" s="19"/>
      <c r="Q19" s="19"/>
      <c r="R19" s="19"/>
      <c r="S19" s="19"/>
      <c r="T19" s="20">
        <f t="shared" si="2"/>
        <v>1</v>
      </c>
      <c r="Z19" s="84" t="s">
        <v>22</v>
      </c>
      <c r="AA19" s="105"/>
      <c r="AB19" s="105">
        <f>1</f>
        <v>1</v>
      </c>
      <c r="AC19" s="105"/>
      <c r="AD19" s="105">
        <f t="shared" si="12"/>
        <v>1</v>
      </c>
      <c r="AE19" s="105"/>
      <c r="AF19" s="105"/>
      <c r="AG19" s="105"/>
      <c r="AH19" s="105"/>
      <c r="AI19" s="106"/>
      <c r="AJ19" s="107"/>
      <c r="AK19" s="105"/>
      <c r="AL19" s="105"/>
      <c r="AM19" s="105"/>
      <c r="AN19" s="105"/>
      <c r="AO19" s="105"/>
      <c r="AP19" s="105"/>
      <c r="AQ19" s="105"/>
      <c r="AR19" s="105"/>
      <c r="AS19" s="109">
        <f t="shared" si="6"/>
        <v>2</v>
      </c>
      <c r="AW19" s="104" t="s">
        <v>67</v>
      </c>
      <c r="AX19" s="108">
        <f>1</f>
        <v>1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14">
        <f t="shared" ref="BP19:BP25" si="15">SUM(AX19:BO19)</f>
        <v>1</v>
      </c>
      <c r="BT19" s="104" t="s">
        <v>14</v>
      </c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14">
        <f t="shared" si="13"/>
        <v>0</v>
      </c>
      <c r="CN19" s="306"/>
      <c r="CO19" s="300" t="s">
        <v>16</v>
      </c>
      <c r="CP19" s="48">
        <f>1</f>
        <v>1</v>
      </c>
      <c r="CQ19" s="48"/>
      <c r="CR19" s="48"/>
      <c r="CS19" s="48"/>
      <c r="CT19" s="48"/>
      <c r="CU19" s="48"/>
      <c r="CV19" s="48"/>
      <c r="CW19" s="48"/>
      <c r="CX19" s="48"/>
      <c r="CY19" s="310">
        <f t="shared" si="11"/>
        <v>1</v>
      </c>
      <c r="CZ19" s="299"/>
      <c r="DA19" s="299"/>
      <c r="DB19" s="290"/>
    </row>
    <row r="20">
      <c r="A20" s="14" t="s">
        <v>29</v>
      </c>
      <c r="B20" s="15"/>
      <c r="C20" s="15"/>
      <c r="D20" s="15"/>
      <c r="E20" s="15"/>
      <c r="F20" s="15"/>
      <c r="G20" s="15"/>
      <c r="H20" s="15"/>
      <c r="I20" s="15"/>
      <c r="J20" s="21"/>
      <c r="K20" s="22">
        <f t="shared" si="14"/>
        <v>1</v>
      </c>
      <c r="L20" s="19"/>
      <c r="M20" s="19"/>
      <c r="N20" s="19"/>
      <c r="O20" s="19"/>
      <c r="P20" s="19"/>
      <c r="Q20" s="19"/>
      <c r="R20" s="19"/>
      <c r="S20" s="19"/>
      <c r="T20" s="20">
        <f t="shared" si="2"/>
        <v>1</v>
      </c>
      <c r="Z20" s="119"/>
      <c r="AA20" s="120"/>
      <c r="AB20" s="120"/>
      <c r="AC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>
        <f>SUM(AS7:AS19)</f>
        <v>15</v>
      </c>
      <c r="AW20" s="104" t="s">
        <v>58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>
        <f>1</f>
        <v>1</v>
      </c>
      <c r="BM20" s="108"/>
      <c r="BN20" s="108"/>
      <c r="BO20" s="108"/>
      <c r="BP20" s="114">
        <f t="shared" si="15"/>
        <v>1</v>
      </c>
      <c r="BT20" s="119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1">
        <f>SUM(CM18:CM19)</f>
        <v>1</v>
      </c>
      <c r="CN20" s="306"/>
      <c r="CO20" s="311" t="s">
        <v>40</v>
      </c>
      <c r="CP20" s="48"/>
      <c r="CQ20" s="48"/>
      <c r="CR20" s="48"/>
      <c r="CS20" s="48"/>
      <c r="CT20" s="48"/>
      <c r="CU20" s="48"/>
      <c r="CV20" s="48"/>
      <c r="CW20" s="48"/>
      <c r="CX20" s="48"/>
      <c r="CY20" s="310">
        <f t="shared" si="11"/>
        <v>0</v>
      </c>
      <c r="CZ20" s="299"/>
      <c r="DA20" s="299"/>
      <c r="DB20" s="290"/>
    </row>
    <row r="21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21"/>
      <c r="K21" s="22"/>
      <c r="L21" s="19">
        <f>1</f>
        <v>1</v>
      </c>
      <c r="M21" s="19"/>
      <c r="N21" s="19"/>
      <c r="O21" s="19"/>
      <c r="P21" s="19"/>
      <c r="Q21" s="19"/>
      <c r="R21" s="19"/>
      <c r="S21" s="19"/>
      <c r="T21" s="20">
        <f t="shared" si="2"/>
        <v>1</v>
      </c>
      <c r="AW21" s="104" t="s">
        <v>44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>
        <f>1</f>
        <v>1</v>
      </c>
      <c r="BI21" s="108"/>
      <c r="BJ21" s="108"/>
      <c r="BK21" s="108"/>
      <c r="BL21" s="108"/>
      <c r="BM21" s="108"/>
      <c r="BN21" s="108"/>
      <c r="BO21" s="108"/>
      <c r="BP21" s="114">
        <f t="shared" si="15"/>
        <v>1</v>
      </c>
      <c r="BT21" s="119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31"/>
      <c r="CG21" s="120"/>
      <c r="CH21" s="120"/>
      <c r="CI21" s="120"/>
      <c r="CJ21" s="120"/>
      <c r="CK21" s="120"/>
      <c r="CL21" s="120"/>
      <c r="CM21" s="123"/>
      <c r="CN21" s="306"/>
      <c r="CO21" s="300" t="s">
        <v>41</v>
      </c>
      <c r="CP21" s="48"/>
      <c r="CQ21" s="48"/>
      <c r="CR21" s="48"/>
      <c r="CS21" s="48"/>
      <c r="CT21" s="48"/>
      <c r="CU21" s="48"/>
      <c r="CV21" s="48"/>
      <c r="CW21" s="48"/>
      <c r="CX21" s="48"/>
      <c r="CY21" s="310">
        <f t="shared" si="11"/>
        <v>0</v>
      </c>
      <c r="CZ21" s="299"/>
      <c r="DA21" s="299"/>
      <c r="DB21" s="290"/>
    </row>
    <row r="22">
      <c r="A22" s="14" t="s">
        <v>31</v>
      </c>
      <c r="B22" s="26"/>
      <c r="C22" s="15"/>
      <c r="D22" s="15"/>
      <c r="E22" s="15">
        <f t="shared" ref="E22:E23" si="16">1</f>
        <v>1</v>
      </c>
      <c r="F22" s="15"/>
      <c r="G22" s="15"/>
      <c r="H22" s="15"/>
      <c r="I22" s="15"/>
      <c r="J22" s="21"/>
      <c r="K22" s="22"/>
      <c r="L22" s="19"/>
      <c r="M22" s="19"/>
      <c r="N22" s="19"/>
      <c r="O22" s="19"/>
      <c r="P22" s="19"/>
      <c r="Q22" s="19"/>
      <c r="R22" s="19"/>
      <c r="S22" s="19"/>
      <c r="T22" s="20">
        <f t="shared" si="2"/>
        <v>1</v>
      </c>
      <c r="AW22" s="104" t="s">
        <v>68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14">
        <f t="shared" si="15"/>
        <v>0</v>
      </c>
      <c r="BT22" s="83" t="s">
        <v>69</v>
      </c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"/>
      <c r="CN22" s="306"/>
      <c r="CO22" s="119"/>
      <c r="CP22" s="304"/>
      <c r="CQ22" s="304"/>
      <c r="CR22" s="304"/>
      <c r="CS22" s="304"/>
      <c r="CT22" s="304"/>
      <c r="CU22" s="304"/>
      <c r="CV22" s="304"/>
      <c r="CW22" s="304"/>
      <c r="CX22" s="304"/>
      <c r="CY22" s="305">
        <f>SUM(CY16:CY21)</f>
        <v>1</v>
      </c>
      <c r="CZ22" s="299"/>
      <c r="DA22" s="299"/>
      <c r="DB22" s="290"/>
    </row>
    <row r="23">
      <c r="A23" s="14" t="s">
        <v>32</v>
      </c>
      <c r="B23" s="15"/>
      <c r="C23" s="15"/>
      <c r="D23" s="15"/>
      <c r="E23" s="15">
        <f t="shared" si="16"/>
        <v>1</v>
      </c>
      <c r="F23" s="15"/>
      <c r="G23" s="15"/>
      <c r="H23" s="15"/>
      <c r="I23" s="15"/>
      <c r="J23" s="21"/>
      <c r="K23" s="22"/>
      <c r="L23" s="19"/>
      <c r="M23" s="19"/>
      <c r="N23" s="19"/>
      <c r="O23" s="19"/>
      <c r="P23" s="19"/>
      <c r="Q23" s="19"/>
      <c r="R23" s="19"/>
      <c r="S23" s="19"/>
      <c r="T23" s="20">
        <f t="shared" si="2"/>
        <v>1</v>
      </c>
      <c r="Z23" s="348" t="s">
        <v>70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8"/>
      <c r="AW23" s="104" t="s">
        <v>16</v>
      </c>
      <c r="AX23" s="108"/>
      <c r="AY23" s="108"/>
      <c r="AZ23" s="108"/>
      <c r="BA23" s="108"/>
      <c r="BB23" s="108"/>
      <c r="BC23" s="108"/>
      <c r="BD23" s="108"/>
      <c r="BE23" s="108">
        <f>1</f>
        <v>1</v>
      </c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14">
        <f t="shared" si="15"/>
        <v>1</v>
      </c>
      <c r="BT23" s="90"/>
      <c r="BU23" s="91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"/>
      <c r="CN23" s="306"/>
      <c r="CO23" s="11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0"/>
    </row>
    <row r="24">
      <c r="A24" s="27" t="s">
        <v>33</v>
      </c>
      <c r="B24" s="15"/>
      <c r="C24" s="15"/>
      <c r="D24" s="15"/>
      <c r="E24" s="15"/>
      <c r="F24" s="15"/>
      <c r="G24" s="15"/>
      <c r="H24" s="15"/>
      <c r="I24" s="15"/>
      <c r="J24" s="21"/>
      <c r="K24" s="22"/>
      <c r="L24" s="19"/>
      <c r="M24" s="19"/>
      <c r="N24" s="19"/>
      <c r="O24" s="19"/>
      <c r="P24" s="19"/>
      <c r="Q24" s="19"/>
      <c r="R24" s="19"/>
      <c r="S24" s="19"/>
      <c r="T24" s="20">
        <f t="shared" si="2"/>
        <v>0</v>
      </c>
      <c r="Z24" s="84"/>
      <c r="AA24" s="85" t="s">
        <v>1</v>
      </c>
      <c r="AB24" s="7"/>
      <c r="AC24" s="7"/>
      <c r="AD24" s="7"/>
      <c r="AE24" s="7"/>
      <c r="AF24" s="7"/>
      <c r="AG24" s="7"/>
      <c r="AH24" s="7"/>
      <c r="AI24" s="8"/>
      <c r="AJ24" s="86" t="s">
        <v>2</v>
      </c>
      <c r="AK24" s="7"/>
      <c r="AL24" s="7"/>
      <c r="AM24" s="7"/>
      <c r="AN24" s="7"/>
      <c r="AO24" s="7"/>
      <c r="AP24" s="7"/>
      <c r="AQ24" s="7"/>
      <c r="AR24" s="7"/>
      <c r="AS24" s="8"/>
      <c r="AW24" s="104" t="s">
        <v>71</v>
      </c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14">
        <f t="shared" si="15"/>
        <v>0</v>
      </c>
      <c r="BT24" s="99"/>
      <c r="BU24" s="85" t="s">
        <v>1</v>
      </c>
      <c r="BV24" s="7"/>
      <c r="BW24" s="7"/>
      <c r="BX24" s="7"/>
      <c r="BY24" s="7"/>
      <c r="BZ24" s="7"/>
      <c r="CA24" s="7"/>
      <c r="CB24" s="7"/>
      <c r="CC24" s="8"/>
      <c r="CD24" s="100"/>
      <c r="CE24" s="100"/>
      <c r="CF24" s="86" t="s">
        <v>2</v>
      </c>
      <c r="CG24" s="7"/>
      <c r="CH24" s="7"/>
      <c r="CI24" s="7"/>
      <c r="CJ24" s="7"/>
      <c r="CK24" s="7"/>
      <c r="CL24" s="7"/>
      <c r="CM24" s="8"/>
      <c r="CN24" s="306"/>
      <c r="CO24" s="119"/>
      <c r="CP24" s="292" t="s">
        <v>141</v>
      </c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  <c r="DB24" s="290"/>
    </row>
    <row r="25">
      <c r="A25" s="28" t="s">
        <v>34</v>
      </c>
      <c r="B25" s="15"/>
      <c r="C25" s="15"/>
      <c r="D25" s="15"/>
      <c r="E25" s="15"/>
      <c r="F25" s="15">
        <f>1</f>
        <v>1</v>
      </c>
      <c r="G25" s="15"/>
      <c r="H25" s="15"/>
      <c r="I25" s="15"/>
      <c r="J25" s="21"/>
      <c r="K25" s="22"/>
      <c r="L25" s="19"/>
      <c r="M25" s="19"/>
      <c r="N25" s="19"/>
      <c r="O25" s="19"/>
      <c r="P25" s="19"/>
      <c r="Q25" s="19"/>
      <c r="R25" s="19"/>
      <c r="S25" s="19"/>
      <c r="T25" s="20">
        <f t="shared" si="2"/>
        <v>1</v>
      </c>
      <c r="Z25" s="84" t="s">
        <v>51</v>
      </c>
      <c r="AA25" s="92">
        <v>28.0</v>
      </c>
      <c r="AB25" s="92">
        <v>30.0</v>
      </c>
      <c r="AC25" s="92">
        <v>32.0</v>
      </c>
      <c r="AD25" s="92">
        <v>34.0</v>
      </c>
      <c r="AE25" s="92">
        <v>36.0</v>
      </c>
      <c r="AF25" s="92">
        <v>38.0</v>
      </c>
      <c r="AG25" s="92">
        <v>40.0</v>
      </c>
      <c r="AH25" s="92"/>
      <c r="AI25" s="93"/>
      <c r="AJ25" s="94">
        <v>28.0</v>
      </c>
      <c r="AK25" s="95">
        <v>30.0</v>
      </c>
      <c r="AL25" s="95">
        <v>32.0</v>
      </c>
      <c r="AM25" s="95">
        <v>34.0</v>
      </c>
      <c r="AN25" s="95">
        <v>36.0</v>
      </c>
      <c r="AO25" s="95">
        <v>38.0</v>
      </c>
      <c r="AP25" s="95">
        <v>40.0</v>
      </c>
      <c r="AQ25" s="95"/>
      <c r="AR25" s="95"/>
      <c r="AS25" s="96" t="s">
        <v>52</v>
      </c>
      <c r="AW25" s="350" t="s">
        <v>72</v>
      </c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14">
        <f t="shared" si="15"/>
        <v>0</v>
      </c>
      <c r="BT25" s="134" t="s">
        <v>51</v>
      </c>
      <c r="BU25" s="92">
        <v>28.0</v>
      </c>
      <c r="BV25" s="92">
        <v>30.0</v>
      </c>
      <c r="BW25" s="92">
        <v>32.0</v>
      </c>
      <c r="BX25" s="92">
        <v>34.0</v>
      </c>
      <c r="BY25" s="92">
        <v>36.0</v>
      </c>
      <c r="BZ25" s="92">
        <v>38.0</v>
      </c>
      <c r="CA25" s="92">
        <v>40.0</v>
      </c>
      <c r="CB25" s="92">
        <v>42.0</v>
      </c>
      <c r="CC25" s="93">
        <v>44.0</v>
      </c>
      <c r="CD25" s="94">
        <v>28.0</v>
      </c>
      <c r="CE25" s="95">
        <v>30.0</v>
      </c>
      <c r="CF25" s="95">
        <v>32.0</v>
      </c>
      <c r="CG25" s="95">
        <v>34.0</v>
      </c>
      <c r="CH25" s="95">
        <v>36.0</v>
      </c>
      <c r="CI25" s="95">
        <v>38.0</v>
      </c>
      <c r="CJ25" s="95">
        <v>40.0</v>
      </c>
      <c r="CK25" s="95">
        <v>42.0</v>
      </c>
      <c r="CL25" s="95">
        <v>44.0</v>
      </c>
      <c r="CM25" s="96" t="s">
        <v>52</v>
      </c>
      <c r="CN25" s="306"/>
      <c r="CO25" s="119"/>
      <c r="CP25" s="349" t="s">
        <v>43</v>
      </c>
      <c r="CQ25" s="326"/>
      <c r="CR25" s="326"/>
      <c r="CS25" s="326"/>
      <c r="CT25" s="326"/>
      <c r="CU25" s="326"/>
      <c r="CV25" s="326"/>
      <c r="CW25" s="326"/>
      <c r="CX25" s="327"/>
      <c r="CY25" s="299"/>
      <c r="CZ25" s="299"/>
      <c r="DA25" s="299"/>
      <c r="DB25" s="290"/>
    </row>
    <row r="26">
      <c r="A26" s="28" t="s">
        <v>35</v>
      </c>
      <c r="B26" s="26"/>
      <c r="C26" s="15"/>
      <c r="D26" s="15"/>
      <c r="E26" s="15"/>
      <c r="F26" s="15"/>
      <c r="G26" s="15"/>
      <c r="H26" s="15"/>
      <c r="I26" s="15"/>
      <c r="J26" s="21"/>
      <c r="K26" s="22">
        <f t="shared" ref="K26:K27" si="17">1</f>
        <v>1</v>
      </c>
      <c r="L26" s="19"/>
      <c r="M26" s="19"/>
      <c r="N26" s="19"/>
      <c r="O26" s="19"/>
      <c r="P26" s="19"/>
      <c r="Q26" s="19"/>
      <c r="R26" s="19"/>
      <c r="S26" s="19"/>
      <c r="T26" s="20">
        <f t="shared" si="2"/>
        <v>1</v>
      </c>
      <c r="Z26" s="84"/>
      <c r="AA26" s="101" t="s">
        <v>4</v>
      </c>
      <c r="AB26" s="101" t="s">
        <v>53</v>
      </c>
      <c r="AC26" s="101" t="s">
        <v>54</v>
      </c>
      <c r="AD26" s="101" t="s">
        <v>55</v>
      </c>
      <c r="AE26" s="101" t="s">
        <v>56</v>
      </c>
      <c r="AF26" s="101" t="s">
        <v>9</v>
      </c>
      <c r="AG26" s="101" t="s">
        <v>10</v>
      </c>
      <c r="AH26" s="101" t="s">
        <v>11</v>
      </c>
      <c r="AI26" s="102" t="s">
        <v>12</v>
      </c>
      <c r="AJ26" s="103" t="s">
        <v>4</v>
      </c>
      <c r="AK26" s="100" t="s">
        <v>53</v>
      </c>
      <c r="AL26" s="100" t="s">
        <v>54</v>
      </c>
      <c r="AM26" s="100" t="s">
        <v>55</v>
      </c>
      <c r="AN26" s="100" t="s">
        <v>56</v>
      </c>
      <c r="AO26" s="100" t="s">
        <v>9</v>
      </c>
      <c r="AP26" s="100" t="s">
        <v>10</v>
      </c>
      <c r="AQ26" s="100" t="s">
        <v>11</v>
      </c>
      <c r="AR26" s="100" t="s">
        <v>12</v>
      </c>
      <c r="AS26" s="99"/>
      <c r="AW26" s="119"/>
      <c r="AX26" s="120"/>
      <c r="AY26" s="120"/>
      <c r="AZ26" s="120"/>
      <c r="BA26" s="120"/>
      <c r="BB26" s="136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1">
        <f>SUM(BP19:BP25)</f>
        <v>4</v>
      </c>
      <c r="BT26" s="134"/>
      <c r="BU26" s="101" t="s">
        <v>4</v>
      </c>
      <c r="BV26" s="101" t="s">
        <v>53</v>
      </c>
      <c r="BW26" s="101" t="s">
        <v>54</v>
      </c>
      <c r="BX26" s="101" t="s">
        <v>55</v>
      </c>
      <c r="BY26" s="101" t="s">
        <v>56</v>
      </c>
      <c r="BZ26" s="101" t="s">
        <v>9</v>
      </c>
      <c r="CA26" s="101" t="s">
        <v>10</v>
      </c>
      <c r="CB26" s="101" t="s">
        <v>11</v>
      </c>
      <c r="CC26" s="102" t="s">
        <v>12</v>
      </c>
      <c r="CD26" s="103" t="s">
        <v>4</v>
      </c>
      <c r="CE26" s="100" t="s">
        <v>53</v>
      </c>
      <c r="CF26" s="100" t="s">
        <v>54</v>
      </c>
      <c r="CG26" s="100" t="s">
        <v>55</v>
      </c>
      <c r="CH26" s="100" t="s">
        <v>56</v>
      </c>
      <c r="CI26" s="100" t="s">
        <v>9</v>
      </c>
      <c r="CJ26" s="100" t="s">
        <v>10</v>
      </c>
      <c r="CK26" s="100" t="s">
        <v>11</v>
      </c>
      <c r="CL26" s="100" t="s">
        <v>12</v>
      </c>
      <c r="CM26" s="99"/>
      <c r="CN26" s="306"/>
      <c r="CO26" s="296" t="s">
        <v>3</v>
      </c>
      <c r="CP26" s="297" t="s">
        <v>4</v>
      </c>
      <c r="CQ26" s="298" t="s">
        <v>5</v>
      </c>
      <c r="CR26" s="298" t="s">
        <v>6</v>
      </c>
      <c r="CS26" s="298" t="s">
        <v>7</v>
      </c>
      <c r="CT26" s="298" t="s">
        <v>8</v>
      </c>
      <c r="CU26" s="298" t="s">
        <v>9</v>
      </c>
      <c r="CV26" s="298" t="s">
        <v>10</v>
      </c>
      <c r="CW26" s="298" t="s">
        <v>11</v>
      </c>
      <c r="CX26" s="298" t="s">
        <v>12</v>
      </c>
      <c r="CY26" s="299"/>
      <c r="CZ26" s="299"/>
      <c r="DA26" s="299"/>
      <c r="DB26" s="290"/>
    </row>
    <row r="27">
      <c r="A27" s="28" t="s">
        <v>36</v>
      </c>
      <c r="B27" s="15"/>
      <c r="C27" s="15"/>
      <c r="D27" s="15"/>
      <c r="E27" s="15"/>
      <c r="F27" s="15"/>
      <c r="G27" s="15"/>
      <c r="H27" s="15"/>
      <c r="I27" s="15"/>
      <c r="J27" s="21"/>
      <c r="K27" s="22">
        <f t="shared" si="17"/>
        <v>1</v>
      </c>
      <c r="L27" s="19"/>
      <c r="M27" s="19"/>
      <c r="N27" s="19"/>
      <c r="O27" s="19"/>
      <c r="P27" s="19"/>
      <c r="Q27" s="19"/>
      <c r="R27" s="19"/>
      <c r="S27" s="19"/>
      <c r="T27" s="20">
        <f t="shared" si="2"/>
        <v>1</v>
      </c>
      <c r="Z27" s="84" t="s">
        <v>15</v>
      </c>
      <c r="AA27" s="121"/>
      <c r="AB27" s="121"/>
      <c r="AC27" s="108"/>
      <c r="AD27" s="121"/>
      <c r="AE27" s="121"/>
      <c r="AF27" s="108"/>
      <c r="AG27" s="121"/>
      <c r="AH27" s="121"/>
      <c r="AI27" s="137"/>
      <c r="AJ27" s="138"/>
      <c r="AK27" s="121"/>
      <c r="AL27" s="121"/>
      <c r="AM27" s="121"/>
      <c r="AN27" s="121"/>
      <c r="AO27" s="121"/>
      <c r="AP27" s="121"/>
      <c r="AQ27" s="121"/>
      <c r="AR27" s="121"/>
      <c r="AS27" s="114">
        <f t="shared" ref="AS27:AS31" si="18">SUM(AA27:AR27)</f>
        <v>0</v>
      </c>
      <c r="AW27" s="119"/>
      <c r="AX27" s="120"/>
      <c r="AY27" s="120"/>
      <c r="AZ27" s="120"/>
      <c r="BA27" s="120"/>
      <c r="BB27" s="136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3"/>
      <c r="BT27" s="134" t="s">
        <v>13</v>
      </c>
      <c r="BU27" s="108"/>
      <c r="BV27" s="108">
        <f>1</f>
        <v>1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14">
        <f t="shared" ref="CM27:CM28" si="19">SUM(BU27:CL27)</f>
        <v>1</v>
      </c>
      <c r="CN27" s="306"/>
      <c r="CO27" s="300" t="s">
        <v>13</v>
      </c>
      <c r="CP27" s="48">
        <f>1</f>
        <v>1</v>
      </c>
      <c r="CQ27" s="48"/>
      <c r="CR27" s="48"/>
      <c r="CS27" s="48"/>
      <c r="CT27" s="48"/>
      <c r="CU27" s="48"/>
      <c r="CV27" s="48"/>
      <c r="CW27" s="48"/>
      <c r="CX27" s="48"/>
      <c r="CY27" s="302">
        <f t="shared" ref="CY27:CY29" si="20">SUM(CP27:CX27)</f>
        <v>1</v>
      </c>
      <c r="CZ27" s="299"/>
      <c r="DA27" s="299"/>
      <c r="DB27" s="290"/>
    </row>
    <row r="28">
      <c r="A28" s="28" t="s">
        <v>37</v>
      </c>
      <c r="B28" s="15">
        <f>1</f>
        <v>1</v>
      </c>
      <c r="C28" s="15"/>
      <c r="D28" s="15"/>
      <c r="E28" s="15"/>
      <c r="F28" s="15"/>
      <c r="G28" s="15"/>
      <c r="H28" s="15"/>
      <c r="I28" s="15"/>
      <c r="J28" s="21"/>
      <c r="K28" s="22"/>
      <c r="L28" s="19"/>
      <c r="M28" s="19"/>
      <c r="N28" s="19"/>
      <c r="O28" s="19"/>
      <c r="P28" s="19"/>
      <c r="Q28" s="19"/>
      <c r="R28" s="19"/>
      <c r="S28" s="19"/>
      <c r="T28" s="20">
        <f t="shared" si="2"/>
        <v>1</v>
      </c>
      <c r="Z28" s="84" t="s">
        <v>13</v>
      </c>
      <c r="AA28" s="121"/>
      <c r="AB28" s="121"/>
      <c r="AC28" s="121"/>
      <c r="AD28" s="121"/>
      <c r="AE28" s="121"/>
      <c r="AF28" s="121"/>
      <c r="AG28" s="121"/>
      <c r="AH28" s="121"/>
      <c r="AI28" s="137"/>
      <c r="AJ28" s="138"/>
      <c r="AK28" s="121"/>
      <c r="AL28" s="108"/>
      <c r="AM28" s="108"/>
      <c r="AN28" s="108">
        <f>1</f>
        <v>1</v>
      </c>
      <c r="AO28" s="108"/>
      <c r="AP28" s="121"/>
      <c r="AQ28" s="121"/>
      <c r="AR28" s="121"/>
      <c r="AS28" s="114">
        <f t="shared" si="18"/>
        <v>1</v>
      </c>
      <c r="AW28" s="139"/>
      <c r="AX28" s="140"/>
      <c r="AY28" s="140"/>
      <c r="AZ28" s="140"/>
      <c r="BA28" s="140"/>
      <c r="BB28" s="141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23"/>
      <c r="BT28" s="134" t="s">
        <v>14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14">
        <f t="shared" si="19"/>
        <v>0</v>
      </c>
      <c r="CN28" s="306"/>
      <c r="CO28" s="300" t="s">
        <v>14</v>
      </c>
      <c r="CP28" s="48"/>
      <c r="CQ28" s="48"/>
      <c r="CR28" s="48"/>
      <c r="CS28" s="48"/>
      <c r="CT28" s="48"/>
      <c r="CU28" s="48"/>
      <c r="CV28" s="48"/>
      <c r="CW28" s="48"/>
      <c r="CX28" s="48"/>
      <c r="CY28" s="302">
        <f t="shared" si="20"/>
        <v>0</v>
      </c>
      <c r="CZ28" s="299"/>
      <c r="DA28" s="299"/>
      <c r="DB28" s="290"/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22</v>
      </c>
      <c r="Z29" s="84" t="s">
        <v>14</v>
      </c>
      <c r="AA29" s="121"/>
      <c r="AB29" s="121">
        <f>1</f>
        <v>1</v>
      </c>
      <c r="AC29" s="121"/>
      <c r="AD29" s="121"/>
      <c r="AE29" s="121"/>
      <c r="AF29" s="108"/>
      <c r="AG29" s="121"/>
      <c r="AH29" s="121"/>
      <c r="AI29" s="137"/>
      <c r="AJ29" s="138">
        <f>1</f>
        <v>1</v>
      </c>
      <c r="AK29" s="121"/>
      <c r="AL29" s="121"/>
      <c r="AM29" s="108"/>
      <c r="AN29" s="121"/>
      <c r="AO29" s="121"/>
      <c r="AP29" s="121"/>
      <c r="AQ29" s="108"/>
      <c r="AR29" s="121"/>
      <c r="AS29" s="114">
        <f t="shared" si="18"/>
        <v>2</v>
      </c>
      <c r="AW29" s="142" t="s">
        <v>73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8"/>
      <c r="BT29" s="143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1">
        <f>SUM(CM27:CM28)</f>
        <v>1</v>
      </c>
      <c r="CN29" s="306"/>
      <c r="CO29" s="300" t="s">
        <v>140</v>
      </c>
      <c r="CP29" s="48"/>
      <c r="CQ29" s="48"/>
      <c r="CR29" s="48"/>
      <c r="CS29" s="48"/>
      <c r="CT29" s="48"/>
      <c r="CU29" s="48"/>
      <c r="CV29" s="48"/>
      <c r="CW29" s="48"/>
      <c r="CX29" s="48"/>
      <c r="CY29" s="302">
        <f t="shared" si="20"/>
        <v>0</v>
      </c>
      <c r="CZ29" s="312"/>
      <c r="DA29" s="299"/>
      <c r="DB29" s="290"/>
    </row>
    <row r="30">
      <c r="Z30" s="84" t="s">
        <v>74</v>
      </c>
      <c r="AA30" s="121"/>
      <c r="AB30" s="121"/>
      <c r="AC30" s="121"/>
      <c r="AD30" s="121"/>
      <c r="AE30" s="121"/>
      <c r="AF30" s="121"/>
      <c r="AG30" s="121"/>
      <c r="AH30" s="121"/>
      <c r="AI30" s="137"/>
      <c r="AJ30" s="138"/>
      <c r="AK30" s="121"/>
      <c r="AL30" s="121"/>
      <c r="AM30" s="121">
        <f>1</f>
        <v>1</v>
      </c>
      <c r="AN30" s="121"/>
      <c r="AO30" s="121"/>
      <c r="AP30" s="121"/>
      <c r="AQ30" s="121"/>
      <c r="AR30" s="121"/>
      <c r="AS30" s="114">
        <f t="shared" si="18"/>
        <v>1</v>
      </c>
      <c r="AW30" s="90"/>
      <c r="AX30" s="98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8"/>
      <c r="BT30" s="143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3"/>
      <c r="CN30" s="306"/>
      <c r="CO30" s="119"/>
      <c r="CP30" s="304"/>
      <c r="CQ30" s="304"/>
      <c r="CR30" s="304"/>
      <c r="CS30" s="304"/>
      <c r="CT30" s="304"/>
      <c r="CU30" s="304"/>
      <c r="CV30" s="304"/>
      <c r="CW30" s="304"/>
      <c r="CX30" s="304"/>
      <c r="CY30" s="305">
        <f>SUM(CY27:CY29)</f>
        <v>1</v>
      </c>
      <c r="CZ30" s="299"/>
      <c r="DA30" s="299"/>
      <c r="DB30" s="290"/>
    </row>
    <row r="31">
      <c r="Z31" s="104" t="s">
        <v>75</v>
      </c>
      <c r="AA31" s="121">
        <f>1</f>
        <v>1</v>
      </c>
      <c r="AB31" s="108"/>
      <c r="AC31" s="108"/>
      <c r="AD31" s="108"/>
      <c r="AE31" s="121"/>
      <c r="AF31" s="121"/>
      <c r="AG31" s="108"/>
      <c r="AH31" s="108"/>
      <c r="AI31" s="108"/>
      <c r="AJ31" s="138"/>
      <c r="AK31" s="121">
        <f>1</f>
        <v>1</v>
      </c>
      <c r="AL31" s="121"/>
      <c r="AM31" s="108"/>
      <c r="AN31" s="121"/>
      <c r="AO31" s="108"/>
      <c r="AP31" s="121"/>
      <c r="AQ31" s="121"/>
      <c r="AR31" s="121"/>
      <c r="AS31" s="114">
        <f t="shared" si="18"/>
        <v>2</v>
      </c>
      <c r="AW31" s="99"/>
      <c r="AX31" s="85" t="s">
        <v>1</v>
      </c>
      <c r="AY31" s="7"/>
      <c r="AZ31" s="7"/>
      <c r="BA31" s="7"/>
      <c r="BB31" s="7"/>
      <c r="BC31" s="7"/>
      <c r="BD31" s="7"/>
      <c r="BE31" s="7"/>
      <c r="BF31" s="8"/>
      <c r="BG31" s="95"/>
      <c r="BH31" s="95"/>
      <c r="BI31" s="86" t="s">
        <v>2</v>
      </c>
      <c r="BJ31" s="7"/>
      <c r="BK31" s="7"/>
      <c r="BL31" s="7"/>
      <c r="BM31" s="7"/>
      <c r="BN31" s="7"/>
      <c r="BO31" s="7"/>
      <c r="BP31" s="8"/>
      <c r="BT31" s="351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23"/>
      <c r="CN31" s="306"/>
      <c r="CO31" s="11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0"/>
    </row>
    <row r="32">
      <c r="Z32" s="119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>
        <f>SUM(AS27:AS31)</f>
        <v>6</v>
      </c>
      <c r="AW32" s="104" t="s">
        <v>51</v>
      </c>
      <c r="AX32" s="92">
        <v>28.0</v>
      </c>
      <c r="AY32" s="92">
        <v>30.0</v>
      </c>
      <c r="AZ32" s="92">
        <v>32.0</v>
      </c>
      <c r="BA32" s="92">
        <v>34.0</v>
      </c>
      <c r="BB32" s="92">
        <v>36.0</v>
      </c>
      <c r="BC32" s="92">
        <v>38.0</v>
      </c>
      <c r="BD32" s="92">
        <v>40.0</v>
      </c>
      <c r="BE32" s="92"/>
      <c r="BF32" s="93"/>
      <c r="BG32" s="94">
        <v>28.0</v>
      </c>
      <c r="BH32" s="95">
        <v>30.0</v>
      </c>
      <c r="BI32" s="95">
        <v>32.0</v>
      </c>
      <c r="BJ32" s="95">
        <v>34.0</v>
      </c>
      <c r="BK32" s="95">
        <v>36.0</v>
      </c>
      <c r="BL32" s="95">
        <v>38.0</v>
      </c>
      <c r="BM32" s="95">
        <v>40.0</v>
      </c>
      <c r="BN32" s="95"/>
      <c r="BO32" s="95"/>
      <c r="BP32" s="96" t="s">
        <v>76</v>
      </c>
      <c r="BT32" s="144" t="s">
        <v>77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306"/>
      <c r="CO32" s="119"/>
      <c r="CP32" s="292" t="s">
        <v>142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8"/>
      <c r="DB32" s="290"/>
    </row>
    <row r="33"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W33" s="104"/>
      <c r="AX33" s="101" t="s">
        <v>4</v>
      </c>
      <c r="AY33" s="101" t="s">
        <v>53</v>
      </c>
      <c r="AZ33" s="101" t="s">
        <v>54</v>
      </c>
      <c r="BA33" s="101" t="s">
        <v>55</v>
      </c>
      <c r="BB33" s="101" t="s">
        <v>56</v>
      </c>
      <c r="BC33" s="101" t="s">
        <v>9</v>
      </c>
      <c r="BD33" s="101" t="s">
        <v>10</v>
      </c>
      <c r="BE33" s="101" t="s">
        <v>11</v>
      </c>
      <c r="BF33" s="102" t="s">
        <v>12</v>
      </c>
      <c r="BG33" s="103" t="s">
        <v>4</v>
      </c>
      <c r="BH33" s="100" t="s">
        <v>53</v>
      </c>
      <c r="BI33" s="100" t="s">
        <v>54</v>
      </c>
      <c r="BJ33" s="100" t="s">
        <v>55</v>
      </c>
      <c r="BK33" s="100" t="s">
        <v>56</v>
      </c>
      <c r="BL33" s="100" t="s">
        <v>9</v>
      </c>
      <c r="BM33" s="100" t="s">
        <v>10</v>
      </c>
      <c r="BN33" s="100" t="s">
        <v>11</v>
      </c>
      <c r="BO33" s="100" t="s">
        <v>12</v>
      </c>
      <c r="BP33" s="99"/>
      <c r="BT33" s="145"/>
      <c r="BU33" s="146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06"/>
      <c r="CO33" s="119"/>
      <c r="CP33" s="349" t="s">
        <v>43</v>
      </c>
      <c r="CQ33" s="326"/>
      <c r="CR33" s="326"/>
      <c r="CS33" s="326"/>
      <c r="CT33" s="326"/>
      <c r="CU33" s="326"/>
      <c r="CV33" s="326"/>
      <c r="CW33" s="326"/>
      <c r="CX33" s="327"/>
      <c r="CY33" s="299"/>
      <c r="CZ33" s="299"/>
      <c r="DA33" s="299"/>
      <c r="DB33" s="290"/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  <c r="Z34" s="348" t="s">
        <v>78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8"/>
      <c r="AW34" s="104" t="s">
        <v>67</v>
      </c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>
        <f>1</f>
        <v>1</v>
      </c>
      <c r="BI34" s="108"/>
      <c r="BJ34" s="108"/>
      <c r="BK34" s="108"/>
      <c r="BL34" s="108"/>
      <c r="BM34" s="108"/>
      <c r="BN34" s="108"/>
      <c r="BO34" s="108"/>
      <c r="BP34" s="114">
        <f t="shared" ref="BP34:BP35" si="21">SUM(AX34:BO34)</f>
        <v>1</v>
      </c>
      <c r="BT34" s="99"/>
      <c r="BU34" s="147" t="s">
        <v>1</v>
      </c>
      <c r="BV34" s="7"/>
      <c r="BW34" s="7"/>
      <c r="BX34" s="7"/>
      <c r="BY34" s="7"/>
      <c r="BZ34" s="7"/>
      <c r="CA34" s="7"/>
      <c r="CB34" s="7"/>
      <c r="CC34" s="8"/>
      <c r="CD34" s="144" t="s">
        <v>2</v>
      </c>
      <c r="CE34" s="7"/>
      <c r="CF34" s="7"/>
      <c r="CG34" s="7"/>
      <c r="CH34" s="7"/>
      <c r="CI34" s="7"/>
      <c r="CJ34" s="7"/>
      <c r="CK34" s="7"/>
      <c r="CL34" s="7"/>
      <c r="CM34" s="7"/>
      <c r="CN34" s="306"/>
      <c r="CO34" s="296" t="s">
        <v>3</v>
      </c>
      <c r="CP34" s="297" t="s">
        <v>4</v>
      </c>
      <c r="CQ34" s="298" t="s">
        <v>5</v>
      </c>
      <c r="CR34" s="298" t="s">
        <v>6</v>
      </c>
      <c r="CS34" s="298" t="s">
        <v>7</v>
      </c>
      <c r="CT34" s="298" t="s">
        <v>8</v>
      </c>
      <c r="CU34" s="298" t="s">
        <v>9</v>
      </c>
      <c r="CV34" s="298" t="s">
        <v>10</v>
      </c>
      <c r="CW34" s="298" t="s">
        <v>11</v>
      </c>
      <c r="CX34" s="298" t="s">
        <v>12</v>
      </c>
      <c r="CY34" s="299"/>
      <c r="CZ34" s="299"/>
      <c r="DA34" s="299"/>
      <c r="DB34" s="290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  <c r="Z35" s="84"/>
      <c r="AA35" s="85" t="s">
        <v>1</v>
      </c>
      <c r="AB35" s="7"/>
      <c r="AC35" s="7"/>
      <c r="AD35" s="7"/>
      <c r="AE35" s="7"/>
      <c r="AF35" s="7"/>
      <c r="AG35" s="7"/>
      <c r="AH35" s="7"/>
      <c r="AI35" s="8"/>
      <c r="AJ35" s="86" t="s">
        <v>2</v>
      </c>
      <c r="AK35" s="7"/>
      <c r="AL35" s="7"/>
      <c r="AM35" s="7"/>
      <c r="AN35" s="7"/>
      <c r="AO35" s="7"/>
      <c r="AP35" s="7"/>
      <c r="AQ35" s="7"/>
      <c r="AR35" s="7"/>
      <c r="AS35" s="8"/>
      <c r="AW35" s="104" t="s">
        <v>58</v>
      </c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14">
        <f t="shared" si="21"/>
        <v>0</v>
      </c>
      <c r="BT35" s="134" t="s">
        <v>51</v>
      </c>
      <c r="BU35" s="149">
        <v>28.0</v>
      </c>
      <c r="BV35" s="149">
        <v>30.0</v>
      </c>
      <c r="BW35" s="149">
        <v>32.0</v>
      </c>
      <c r="BX35" s="149">
        <v>34.0</v>
      </c>
      <c r="BY35" s="149">
        <v>36.0</v>
      </c>
      <c r="BZ35" s="149">
        <v>38.0</v>
      </c>
      <c r="CA35" s="149">
        <v>40.0</v>
      </c>
      <c r="CB35" s="149"/>
      <c r="CC35" s="150"/>
      <c r="CD35" s="151">
        <v>28.0</v>
      </c>
      <c r="CE35" s="152">
        <v>30.0</v>
      </c>
      <c r="CF35" s="152">
        <v>32.0</v>
      </c>
      <c r="CG35" s="152">
        <v>34.0</v>
      </c>
      <c r="CH35" s="152">
        <v>36.0</v>
      </c>
      <c r="CI35" s="152">
        <v>38.0</v>
      </c>
      <c r="CJ35" s="152">
        <v>40.0</v>
      </c>
      <c r="CK35" s="152"/>
      <c r="CL35" s="152"/>
      <c r="CM35" s="153" t="s">
        <v>52</v>
      </c>
      <c r="CN35" s="306"/>
      <c r="CO35" s="300" t="s">
        <v>13</v>
      </c>
      <c r="CP35" s="301"/>
      <c r="CQ35" s="48">
        <f>1</f>
        <v>1</v>
      </c>
      <c r="CR35" s="48"/>
      <c r="CS35" s="301"/>
      <c r="CT35" s="301"/>
      <c r="CU35" s="301"/>
      <c r="CV35" s="313"/>
      <c r="CW35" s="48"/>
      <c r="CX35" s="301"/>
      <c r="CY35" s="302">
        <f t="shared" ref="CY35:CY40" si="22">SUM(CP35:CX35)</f>
        <v>1</v>
      </c>
      <c r="CZ35" s="299"/>
      <c r="DA35" s="299"/>
      <c r="DB35" s="290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  <c r="Z36" s="84" t="s">
        <v>51</v>
      </c>
      <c r="AA36" s="92">
        <v>28.0</v>
      </c>
      <c r="AB36" s="92">
        <v>30.0</v>
      </c>
      <c r="AC36" s="92">
        <v>32.0</v>
      </c>
      <c r="AD36" s="92">
        <v>34.0</v>
      </c>
      <c r="AE36" s="92">
        <v>36.0</v>
      </c>
      <c r="AF36" s="92">
        <v>38.0</v>
      </c>
      <c r="AG36" s="92">
        <v>40.0</v>
      </c>
      <c r="AH36" s="92"/>
      <c r="AI36" s="93"/>
      <c r="AJ36" s="94">
        <v>28.0</v>
      </c>
      <c r="AK36" s="95">
        <v>30.0</v>
      </c>
      <c r="AL36" s="95">
        <v>32.0</v>
      </c>
      <c r="AM36" s="95">
        <v>34.0</v>
      </c>
      <c r="AN36" s="95">
        <v>36.0</v>
      </c>
      <c r="AO36" s="95">
        <v>38.0</v>
      </c>
      <c r="AP36" s="95">
        <v>40.0</v>
      </c>
      <c r="AQ36" s="95"/>
      <c r="AR36" s="95"/>
      <c r="AS36" s="96" t="s">
        <v>52</v>
      </c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2">
        <f>SUM(BP34:BP35)</f>
        <v>1</v>
      </c>
      <c r="BT36" s="134"/>
      <c r="BU36" s="155" t="s">
        <v>4</v>
      </c>
      <c r="BV36" s="155" t="s">
        <v>53</v>
      </c>
      <c r="BW36" s="155" t="s">
        <v>54</v>
      </c>
      <c r="BX36" s="155" t="s">
        <v>55</v>
      </c>
      <c r="BY36" s="155" t="s">
        <v>56</v>
      </c>
      <c r="BZ36" s="155" t="s">
        <v>9</v>
      </c>
      <c r="CA36" s="155" t="s">
        <v>10</v>
      </c>
      <c r="CB36" s="155" t="s">
        <v>11</v>
      </c>
      <c r="CC36" s="156" t="s">
        <v>12</v>
      </c>
      <c r="CD36" s="157" t="s">
        <v>4</v>
      </c>
      <c r="CE36" s="148" t="s">
        <v>53</v>
      </c>
      <c r="CF36" s="148" t="s">
        <v>54</v>
      </c>
      <c r="CG36" s="148" t="s">
        <v>55</v>
      </c>
      <c r="CH36" s="148" t="s">
        <v>56</v>
      </c>
      <c r="CI36" s="148" t="s">
        <v>9</v>
      </c>
      <c r="CJ36" s="148" t="s">
        <v>10</v>
      </c>
      <c r="CK36" s="148" t="s">
        <v>11</v>
      </c>
      <c r="CL36" s="148" t="s">
        <v>12</v>
      </c>
      <c r="CM36" s="99"/>
      <c r="CN36" s="306"/>
      <c r="CO36" s="300" t="s">
        <v>14</v>
      </c>
      <c r="CP36" s="301"/>
      <c r="CQ36" s="301"/>
      <c r="CR36" s="303"/>
      <c r="CS36" s="303"/>
      <c r="CT36" s="303"/>
      <c r="CU36" s="48"/>
      <c r="CV36" s="48"/>
      <c r="CW36" s="48"/>
      <c r="CX36" s="48"/>
      <c r="CY36" s="302">
        <f t="shared" si="22"/>
        <v>0</v>
      </c>
      <c r="CZ36" s="299"/>
      <c r="DA36" s="299"/>
      <c r="DB36" s="290"/>
    </row>
    <row r="37">
      <c r="A37" s="47" t="s">
        <v>13</v>
      </c>
      <c r="B37" s="48"/>
      <c r="C37" s="48"/>
      <c r="D37" s="48"/>
      <c r="E37" s="48">
        <f>1</f>
        <v>1</v>
      </c>
      <c r="F37" s="48"/>
      <c r="G37" s="48"/>
      <c r="H37" s="48"/>
      <c r="I37" s="48"/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50">
        <f t="shared" ref="T37:T43" si="23">SUM(B37:S37)</f>
        <v>1</v>
      </c>
      <c r="Z37" s="84"/>
      <c r="AA37" s="101" t="s">
        <v>4</v>
      </c>
      <c r="AB37" s="101" t="s">
        <v>53</v>
      </c>
      <c r="AC37" s="101" t="s">
        <v>54</v>
      </c>
      <c r="AD37" s="101" t="s">
        <v>55</v>
      </c>
      <c r="AE37" s="101" t="s">
        <v>56</v>
      </c>
      <c r="AF37" s="101" t="s">
        <v>9</v>
      </c>
      <c r="AG37" s="101" t="s">
        <v>10</v>
      </c>
      <c r="AH37" s="101" t="s">
        <v>11</v>
      </c>
      <c r="AI37" s="102" t="s">
        <v>12</v>
      </c>
      <c r="AJ37" s="103" t="s">
        <v>4</v>
      </c>
      <c r="AK37" s="100" t="s">
        <v>53</v>
      </c>
      <c r="AL37" s="100" t="s">
        <v>54</v>
      </c>
      <c r="AM37" s="100" t="s">
        <v>55</v>
      </c>
      <c r="AN37" s="100" t="s">
        <v>56</v>
      </c>
      <c r="AO37" s="100" t="s">
        <v>9</v>
      </c>
      <c r="AP37" s="100" t="s">
        <v>10</v>
      </c>
      <c r="AQ37" s="100" t="s">
        <v>11</v>
      </c>
      <c r="AR37" s="100" t="s">
        <v>12</v>
      </c>
      <c r="AS37" s="99"/>
      <c r="AW37" s="158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60"/>
      <c r="BT37" s="134" t="s">
        <v>67</v>
      </c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14">
        <f t="shared" ref="CM37:CM38" si="24">SUM(BU37:CL37)</f>
        <v>0</v>
      </c>
      <c r="CN37" s="306"/>
      <c r="CO37" s="300" t="s">
        <v>140</v>
      </c>
      <c r="CP37" s="301"/>
      <c r="CQ37" s="301"/>
      <c r="CR37" s="301"/>
      <c r="CS37" s="301"/>
      <c r="CT37" s="48"/>
      <c r="CU37" s="303"/>
      <c r="CV37" s="303"/>
      <c r="CW37" s="48"/>
      <c r="CX37" s="48"/>
      <c r="CY37" s="302">
        <f t="shared" si="22"/>
        <v>0</v>
      </c>
      <c r="CZ37" s="299"/>
      <c r="DA37" s="299"/>
      <c r="DB37" s="290"/>
    </row>
    <row r="38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>
        <f>1</f>
        <v>1</v>
      </c>
      <c r="M38" s="49"/>
      <c r="N38" s="49"/>
      <c r="O38" s="49"/>
      <c r="P38" s="49"/>
      <c r="Q38" s="49"/>
      <c r="R38" s="49"/>
      <c r="S38" s="49"/>
      <c r="T38" s="51">
        <f t="shared" si="23"/>
        <v>1</v>
      </c>
      <c r="Z38" s="84" t="s">
        <v>15</v>
      </c>
      <c r="AA38" s="121"/>
      <c r="AB38" s="121"/>
      <c r="AC38" s="121"/>
      <c r="AD38" s="108"/>
      <c r="AE38" s="121"/>
      <c r="AF38" s="108"/>
      <c r="AG38" s="108"/>
      <c r="AH38" s="121"/>
      <c r="AI38" s="137"/>
      <c r="AJ38" s="108"/>
      <c r="AK38" s="108"/>
      <c r="AL38" s="121"/>
      <c r="AM38" s="121"/>
      <c r="AN38" s="121">
        <f>1</f>
        <v>1</v>
      </c>
      <c r="AO38" s="121"/>
      <c r="AP38" s="121"/>
      <c r="AQ38" s="121"/>
      <c r="AR38" s="121"/>
      <c r="AS38" s="114">
        <f t="shared" ref="AS38:AS41" si="25">SUM(AA38:AR38)</f>
        <v>1</v>
      </c>
      <c r="AW38" s="161" t="s">
        <v>79</v>
      </c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62"/>
      <c r="BT38" s="134" t="s">
        <v>14</v>
      </c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>
        <f>1+1</f>
        <v>2</v>
      </c>
      <c r="CG38" s="108"/>
      <c r="CH38" s="108"/>
      <c r="CI38" s="108"/>
      <c r="CJ38" s="108"/>
      <c r="CK38" s="108"/>
      <c r="CL38" s="108"/>
      <c r="CM38" s="114">
        <f t="shared" si="24"/>
        <v>2</v>
      </c>
      <c r="CN38" s="306"/>
      <c r="CO38" s="300" t="s">
        <v>16</v>
      </c>
      <c r="CP38" s="303"/>
      <c r="CQ38" s="301"/>
      <c r="CR38" s="301"/>
      <c r="CS38" s="48"/>
      <c r="CT38" s="301"/>
      <c r="CU38" s="303"/>
      <c r="CV38" s="303"/>
      <c r="CW38" s="303"/>
      <c r="CX38" s="48"/>
      <c r="CY38" s="302">
        <f t="shared" si="22"/>
        <v>0</v>
      </c>
      <c r="CZ38" s="299"/>
      <c r="DA38" s="299"/>
      <c r="DB38" s="290"/>
    </row>
    <row r="39">
      <c r="A39" s="47" t="s">
        <v>39</v>
      </c>
      <c r="B39" s="48"/>
      <c r="C39" s="48">
        <f>1</f>
        <v>1</v>
      </c>
      <c r="D39" s="48"/>
      <c r="E39" s="48"/>
      <c r="F39" s="48"/>
      <c r="G39" s="48"/>
      <c r="H39" s="48"/>
      <c r="I39" s="48"/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50">
        <f t="shared" si="23"/>
        <v>1</v>
      </c>
      <c r="Z39" s="84" t="s">
        <v>80</v>
      </c>
      <c r="AA39" s="108"/>
      <c r="AB39" s="121"/>
      <c r="AC39" s="121">
        <f>1</f>
        <v>1</v>
      </c>
      <c r="AD39" s="121"/>
      <c r="AE39" s="121"/>
      <c r="AF39" s="121"/>
      <c r="AG39" s="121"/>
      <c r="AH39" s="121"/>
      <c r="AI39" s="137"/>
      <c r="AJ39" s="138"/>
      <c r="AK39" s="121"/>
      <c r="AL39" s="121"/>
      <c r="AM39" s="121"/>
      <c r="AN39" s="121"/>
      <c r="AO39" s="121"/>
      <c r="AP39" s="121"/>
      <c r="AQ39" s="121"/>
      <c r="AR39" s="108"/>
      <c r="AS39" s="114">
        <f t="shared" si="25"/>
        <v>1</v>
      </c>
      <c r="AW39" s="90"/>
      <c r="AX39" s="98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  <c r="BT39" s="119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>
        <f>SUM(CM37:CM38)</f>
        <v>2</v>
      </c>
      <c r="CN39" s="306"/>
      <c r="CO39" s="300" t="s">
        <v>40</v>
      </c>
      <c r="CP39" s="48"/>
      <c r="CQ39" s="48"/>
      <c r="CR39" s="48"/>
      <c r="CS39" s="301"/>
      <c r="CT39" s="48"/>
      <c r="CU39" s="48"/>
      <c r="CV39" s="48"/>
      <c r="CW39" s="48"/>
      <c r="CX39" s="48"/>
      <c r="CY39" s="302">
        <f t="shared" si="22"/>
        <v>0</v>
      </c>
      <c r="CZ39" s="299"/>
      <c r="DA39" s="299"/>
      <c r="DB39" s="290"/>
    </row>
    <row r="40">
      <c r="A40" s="47" t="s">
        <v>19</v>
      </c>
      <c r="B40" s="48">
        <f>1</f>
        <v>1</v>
      </c>
      <c r="C40" s="48"/>
      <c r="D40" s="48"/>
      <c r="E40" s="48"/>
      <c r="F40" s="48"/>
      <c r="G40" s="48"/>
      <c r="H40" s="48"/>
      <c r="I40" s="48"/>
      <c r="J40" s="48"/>
      <c r="K40" s="49">
        <f>1</f>
        <v>1</v>
      </c>
      <c r="L40" s="49"/>
      <c r="M40" s="49"/>
      <c r="N40" s="49"/>
      <c r="O40" s="49"/>
      <c r="P40" s="49"/>
      <c r="Q40" s="49"/>
      <c r="R40" s="49"/>
      <c r="S40" s="49"/>
      <c r="T40" s="50">
        <f t="shared" si="23"/>
        <v>2</v>
      </c>
      <c r="Z40" s="84" t="s">
        <v>61</v>
      </c>
      <c r="AA40" s="121"/>
      <c r="AB40" s="121">
        <f>1</f>
        <v>1</v>
      </c>
      <c r="AC40" s="121"/>
      <c r="AD40" s="121"/>
      <c r="AE40" s="121"/>
      <c r="AF40" s="108"/>
      <c r="AG40" s="121"/>
      <c r="AH40" s="108"/>
      <c r="AI40" s="137"/>
      <c r="AJ40" s="138"/>
      <c r="AK40" s="121"/>
      <c r="AL40" s="121"/>
      <c r="AM40" s="121"/>
      <c r="AN40" s="121"/>
      <c r="AO40" s="121"/>
      <c r="AP40" s="108"/>
      <c r="AQ40" s="121"/>
      <c r="AR40" s="108"/>
      <c r="AS40" s="114">
        <f t="shared" si="25"/>
        <v>1</v>
      </c>
      <c r="AW40" s="99"/>
      <c r="AX40" s="85" t="s">
        <v>1</v>
      </c>
      <c r="AY40" s="7"/>
      <c r="AZ40" s="7"/>
      <c r="BA40" s="7"/>
      <c r="BB40" s="7"/>
      <c r="BC40" s="7"/>
      <c r="BD40" s="7"/>
      <c r="BE40" s="7"/>
      <c r="BF40" s="8"/>
      <c r="BG40" s="95"/>
      <c r="BH40" s="95"/>
      <c r="BI40" s="86" t="s">
        <v>2</v>
      </c>
      <c r="BJ40" s="7"/>
      <c r="BK40" s="7"/>
      <c r="BL40" s="7"/>
      <c r="BM40" s="7"/>
      <c r="BN40" s="7"/>
      <c r="BO40" s="7"/>
      <c r="BP40" s="8"/>
      <c r="BT40" s="119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306"/>
      <c r="CO40" s="300" t="s">
        <v>41</v>
      </c>
      <c r="CP40" s="48"/>
      <c r="CQ40" s="48"/>
      <c r="CR40" s="48"/>
      <c r="CS40" s="48"/>
      <c r="CT40" s="303">
        <f>1</f>
        <v>1</v>
      </c>
      <c r="CU40" s="48"/>
      <c r="CV40" s="48"/>
      <c r="CW40" s="48"/>
      <c r="CX40" s="48"/>
      <c r="CY40" s="302">
        <f t="shared" si="22"/>
        <v>1</v>
      </c>
      <c r="CZ40" s="299"/>
      <c r="DA40" s="299"/>
      <c r="DB40" s="290"/>
    </row>
    <row r="41">
      <c r="A41" s="47" t="s">
        <v>16</v>
      </c>
      <c r="B41" s="48"/>
      <c r="C41" s="48"/>
      <c r="D41" s="48"/>
      <c r="E41" s="48"/>
      <c r="F41" s="48">
        <f>1</f>
        <v>1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50">
        <f t="shared" si="23"/>
        <v>1</v>
      </c>
      <c r="Z41" s="84" t="s">
        <v>44</v>
      </c>
      <c r="AA41" s="121"/>
      <c r="AB41" s="121"/>
      <c r="AC41" s="121"/>
      <c r="AD41" s="121"/>
      <c r="AE41" s="121"/>
      <c r="AF41" s="121"/>
      <c r="AG41" s="121"/>
      <c r="AH41" s="108"/>
      <c r="AI41" s="108"/>
      <c r="AJ41" s="138"/>
      <c r="AK41" s="121"/>
      <c r="AL41" s="121"/>
      <c r="AM41" s="121">
        <f>1</f>
        <v>1</v>
      </c>
      <c r="AN41" s="121"/>
      <c r="AO41" s="121"/>
      <c r="AP41" s="108"/>
      <c r="AQ41" s="121"/>
      <c r="AR41" s="121"/>
      <c r="AS41" s="114">
        <f t="shared" si="25"/>
        <v>1</v>
      </c>
      <c r="AW41" s="104" t="s">
        <v>51</v>
      </c>
      <c r="AX41" s="92">
        <v>28.0</v>
      </c>
      <c r="AY41" s="92">
        <v>30.0</v>
      </c>
      <c r="AZ41" s="92">
        <v>32.0</v>
      </c>
      <c r="BA41" s="92">
        <v>34.0</v>
      </c>
      <c r="BB41" s="92">
        <v>36.0</v>
      </c>
      <c r="BC41" s="92">
        <v>38.0</v>
      </c>
      <c r="BD41" s="92">
        <v>40.0</v>
      </c>
      <c r="BE41" s="92"/>
      <c r="BF41" s="92"/>
      <c r="BG41" s="95">
        <v>28.0</v>
      </c>
      <c r="BH41" s="95">
        <v>30.0</v>
      </c>
      <c r="BI41" s="95">
        <v>32.0</v>
      </c>
      <c r="BJ41" s="95">
        <v>34.0</v>
      </c>
      <c r="BK41" s="95">
        <v>36.0</v>
      </c>
      <c r="BL41" s="95">
        <v>38.0</v>
      </c>
      <c r="BM41" s="95">
        <v>40.0</v>
      </c>
      <c r="BN41" s="95"/>
      <c r="BO41" s="95"/>
      <c r="BP41" s="96" t="s">
        <v>76</v>
      </c>
      <c r="BT41" s="83" t="s">
        <v>81</v>
      </c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8"/>
      <c r="CN41" s="306"/>
      <c r="CO41" s="119"/>
      <c r="CP41" s="304"/>
      <c r="CQ41" s="304"/>
      <c r="CR41" s="304"/>
      <c r="CS41" s="304"/>
      <c r="CT41" s="304"/>
      <c r="CU41" s="304"/>
      <c r="CV41" s="304"/>
      <c r="CW41" s="304"/>
      <c r="CX41" s="304"/>
      <c r="CY41" s="305">
        <f>SUM(CY35:CY40)</f>
        <v>2</v>
      </c>
      <c r="CZ41" s="299"/>
      <c r="DA41" s="299"/>
      <c r="DB41" s="290"/>
    </row>
    <row r="42">
      <c r="A42" s="47" t="s">
        <v>40</v>
      </c>
      <c r="B42" s="48"/>
      <c r="C42" s="48"/>
      <c r="D42" s="48"/>
      <c r="E42" s="48"/>
      <c r="F42" s="48"/>
      <c r="G42" s="48"/>
      <c r="H42" s="48"/>
      <c r="I42" s="48">
        <f>1</f>
        <v>1</v>
      </c>
      <c r="J42" s="48"/>
      <c r="K42" s="49"/>
      <c r="L42" s="49"/>
      <c r="M42" s="49">
        <f>1</f>
        <v>1</v>
      </c>
      <c r="N42" s="49"/>
      <c r="O42" s="49"/>
      <c r="P42" s="49"/>
      <c r="Q42" s="49"/>
      <c r="R42" s="49"/>
      <c r="S42" s="49"/>
      <c r="T42" s="50">
        <f t="shared" si="23"/>
        <v>2</v>
      </c>
      <c r="Z42" s="119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1">
        <f>SUM(AS38:AS41)</f>
        <v>4</v>
      </c>
      <c r="AW42" s="104"/>
      <c r="AX42" s="92" t="s">
        <v>4</v>
      </c>
      <c r="AY42" s="92" t="s">
        <v>53</v>
      </c>
      <c r="AZ42" s="92" t="s">
        <v>54</v>
      </c>
      <c r="BA42" s="92" t="s">
        <v>55</v>
      </c>
      <c r="BB42" s="92" t="s">
        <v>56</v>
      </c>
      <c r="BC42" s="92" t="s">
        <v>9</v>
      </c>
      <c r="BD42" s="92" t="s">
        <v>10</v>
      </c>
      <c r="BE42" s="92" t="s">
        <v>11</v>
      </c>
      <c r="BF42" s="93" t="s">
        <v>12</v>
      </c>
      <c r="BG42" s="94" t="s">
        <v>4</v>
      </c>
      <c r="BH42" s="95" t="s">
        <v>53</v>
      </c>
      <c r="BI42" s="95" t="s">
        <v>54</v>
      </c>
      <c r="BJ42" s="95" t="s">
        <v>55</v>
      </c>
      <c r="BK42" s="95" t="s">
        <v>56</v>
      </c>
      <c r="BL42" s="95" t="s">
        <v>9</v>
      </c>
      <c r="BM42" s="95" t="s">
        <v>10</v>
      </c>
      <c r="BN42" s="95" t="s">
        <v>11</v>
      </c>
      <c r="BO42" s="95" t="s">
        <v>12</v>
      </c>
      <c r="BP42" s="99"/>
      <c r="BT42" s="90"/>
      <c r="BU42" s="91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8"/>
      <c r="CN42" s="306"/>
      <c r="CO42" s="119"/>
      <c r="CP42" s="304"/>
      <c r="CQ42" s="304"/>
      <c r="CR42" s="304"/>
      <c r="CS42" s="304"/>
      <c r="CT42" s="304"/>
      <c r="CU42" s="304"/>
      <c r="CV42" s="304"/>
      <c r="CW42" s="304"/>
      <c r="CX42" s="304"/>
      <c r="CY42" s="314"/>
      <c r="CZ42" s="299"/>
      <c r="DA42" s="299"/>
      <c r="DB42" s="290"/>
    </row>
    <row r="43">
      <c r="A43" s="47" t="s">
        <v>41</v>
      </c>
      <c r="B43" s="48"/>
      <c r="C43" s="48"/>
      <c r="D43" s="48"/>
      <c r="E43" s="48"/>
      <c r="F43" s="48"/>
      <c r="G43" s="48">
        <f>1</f>
        <v>1</v>
      </c>
      <c r="H43" s="48"/>
      <c r="I43" s="48"/>
      <c r="J43" s="48"/>
      <c r="K43" s="49">
        <f>1</f>
        <v>1</v>
      </c>
      <c r="L43" s="49"/>
      <c r="M43" s="49"/>
      <c r="N43" s="49"/>
      <c r="O43" s="49"/>
      <c r="P43" s="49"/>
      <c r="Q43" s="49"/>
      <c r="R43" s="49"/>
      <c r="S43" s="49"/>
      <c r="T43" s="50">
        <f t="shared" si="23"/>
        <v>2</v>
      </c>
      <c r="Z43" s="119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3"/>
      <c r="AW43" s="104" t="s">
        <v>67</v>
      </c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>
        <f>1</f>
        <v>1</v>
      </c>
      <c r="BL43" s="108"/>
      <c r="BM43" s="108"/>
      <c r="BN43" s="108"/>
      <c r="BO43" s="108"/>
      <c r="BP43" s="114">
        <f t="shared" ref="BP43:BP44" si="26">SUM(AX43:BO43)</f>
        <v>1</v>
      </c>
      <c r="BT43" s="99"/>
      <c r="BU43" s="85" t="s">
        <v>1</v>
      </c>
      <c r="BV43" s="7"/>
      <c r="BW43" s="7"/>
      <c r="BX43" s="7"/>
      <c r="BY43" s="7"/>
      <c r="BZ43" s="7"/>
      <c r="CA43" s="7"/>
      <c r="CB43" s="7"/>
      <c r="CC43" s="8"/>
      <c r="CD43" s="100"/>
      <c r="CE43" s="100"/>
      <c r="CF43" s="86" t="s">
        <v>2</v>
      </c>
      <c r="CG43" s="7"/>
      <c r="CH43" s="7"/>
      <c r="CI43" s="7"/>
      <c r="CJ43" s="7"/>
      <c r="CK43" s="7"/>
      <c r="CL43" s="7"/>
      <c r="CM43" s="8"/>
      <c r="CN43" s="306"/>
      <c r="CO43" s="119"/>
      <c r="CP43" s="299"/>
      <c r="CQ43" s="299"/>
      <c r="CR43" s="299"/>
      <c r="CS43" s="299"/>
      <c r="CT43" s="299"/>
      <c r="CU43" s="299"/>
      <c r="CV43" s="299"/>
      <c r="CW43" s="299"/>
      <c r="CX43" s="299"/>
      <c r="CY43" s="299"/>
      <c r="CZ43" s="299"/>
      <c r="DA43" s="299"/>
      <c r="DB43" s="290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10</v>
      </c>
      <c r="Z44" s="119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3"/>
      <c r="AW44" s="104" t="s">
        <v>58</v>
      </c>
      <c r="AX44" s="108"/>
      <c r="AY44" s="108"/>
      <c r="AZ44" s="108"/>
      <c r="BA44" s="108"/>
      <c r="BB44" s="108">
        <f>1</f>
        <v>1</v>
      </c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14">
        <f t="shared" si="26"/>
        <v>1</v>
      </c>
      <c r="BT44" s="104" t="s">
        <v>51</v>
      </c>
      <c r="BU44" s="92">
        <v>28.0</v>
      </c>
      <c r="BV44" s="92">
        <v>30.0</v>
      </c>
      <c r="BW44" s="92">
        <v>32.0</v>
      </c>
      <c r="BX44" s="92">
        <v>34.0</v>
      </c>
      <c r="BY44" s="92">
        <v>36.0</v>
      </c>
      <c r="BZ44" s="92">
        <v>38.0</v>
      </c>
      <c r="CA44" s="92">
        <v>40.0</v>
      </c>
      <c r="CB44" s="92"/>
      <c r="CC44" s="93"/>
      <c r="CD44" s="94">
        <v>28.0</v>
      </c>
      <c r="CE44" s="95">
        <v>30.0</v>
      </c>
      <c r="CF44" s="95">
        <v>32.0</v>
      </c>
      <c r="CG44" s="95">
        <v>34.0</v>
      </c>
      <c r="CH44" s="95">
        <v>36.0</v>
      </c>
      <c r="CI44" s="95">
        <v>38.0</v>
      </c>
      <c r="CJ44" s="95">
        <v>40.0</v>
      </c>
      <c r="CK44" s="95"/>
      <c r="CL44" s="95"/>
      <c r="CM44" s="96" t="s">
        <v>52</v>
      </c>
      <c r="CN44" s="306"/>
      <c r="CO44" s="119"/>
      <c r="CP44" s="292" t="s">
        <v>143</v>
      </c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  <c r="DB44" s="290"/>
    </row>
    <row r="45">
      <c r="Z45" s="348" t="s">
        <v>82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8"/>
      <c r="AW45" s="164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2">
        <f>SUM(BP43:BP44)</f>
        <v>2</v>
      </c>
      <c r="BT45" s="104"/>
      <c r="BU45" s="101" t="s">
        <v>4</v>
      </c>
      <c r="BV45" s="101" t="s">
        <v>53</v>
      </c>
      <c r="BW45" s="101" t="s">
        <v>54</v>
      </c>
      <c r="BX45" s="101" t="s">
        <v>55</v>
      </c>
      <c r="BY45" s="101" t="s">
        <v>56</v>
      </c>
      <c r="BZ45" s="101" t="s">
        <v>9</v>
      </c>
      <c r="CA45" s="101" t="s">
        <v>10</v>
      </c>
      <c r="CB45" s="101" t="s">
        <v>11</v>
      </c>
      <c r="CC45" s="102" t="s">
        <v>12</v>
      </c>
      <c r="CD45" s="103" t="s">
        <v>4</v>
      </c>
      <c r="CE45" s="100" t="s">
        <v>53</v>
      </c>
      <c r="CF45" s="100" t="s">
        <v>54</v>
      </c>
      <c r="CG45" s="100" t="s">
        <v>55</v>
      </c>
      <c r="CH45" s="100" t="s">
        <v>56</v>
      </c>
      <c r="CI45" s="100" t="s">
        <v>9</v>
      </c>
      <c r="CJ45" s="100" t="s">
        <v>10</v>
      </c>
      <c r="CK45" s="100" t="s">
        <v>11</v>
      </c>
      <c r="CL45" s="100" t="s">
        <v>12</v>
      </c>
      <c r="CM45" s="99"/>
      <c r="CN45" s="306"/>
      <c r="CO45" s="119"/>
      <c r="CP45" s="349" t="s">
        <v>43</v>
      </c>
      <c r="CQ45" s="326"/>
      <c r="CR45" s="326"/>
      <c r="CS45" s="326"/>
      <c r="CT45" s="326"/>
      <c r="CU45" s="326"/>
      <c r="CV45" s="326"/>
      <c r="CW45" s="326"/>
      <c r="CX45" s="327"/>
      <c r="CY45" s="299"/>
      <c r="CZ45" s="299"/>
      <c r="DA45" s="299"/>
      <c r="DB45" s="290"/>
    </row>
    <row r="46">
      <c r="Z46" s="84"/>
      <c r="AA46" s="85" t="s">
        <v>1</v>
      </c>
      <c r="AB46" s="7"/>
      <c r="AC46" s="7"/>
      <c r="AD46" s="7"/>
      <c r="AE46" s="7"/>
      <c r="AF46" s="7"/>
      <c r="AG46" s="7"/>
      <c r="AH46" s="7"/>
      <c r="AI46" s="8"/>
      <c r="AJ46" s="86" t="s">
        <v>2</v>
      </c>
      <c r="AK46" s="7"/>
      <c r="AL46" s="7"/>
      <c r="AM46" s="7"/>
      <c r="AN46" s="7"/>
      <c r="AO46" s="7"/>
      <c r="AP46" s="7"/>
      <c r="AQ46" s="7"/>
      <c r="AR46" s="7"/>
      <c r="AS46" s="8"/>
      <c r="AW46" s="158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60"/>
      <c r="BT46" s="104" t="s">
        <v>67</v>
      </c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14">
        <f t="shared" ref="CM46:CM49" si="27">SUM(BU46:CL46)</f>
        <v>0</v>
      </c>
      <c r="CN46" s="306"/>
      <c r="CO46" s="296" t="s">
        <v>3</v>
      </c>
      <c r="CP46" s="297" t="s">
        <v>4</v>
      </c>
      <c r="CQ46" s="298" t="s">
        <v>5</v>
      </c>
      <c r="CR46" s="298" t="s">
        <v>6</v>
      </c>
      <c r="CS46" s="298" t="s">
        <v>7</v>
      </c>
      <c r="CT46" s="298" t="s">
        <v>8</v>
      </c>
      <c r="CU46" s="298" t="s">
        <v>9</v>
      </c>
      <c r="CV46" s="298" t="s">
        <v>10</v>
      </c>
      <c r="CW46" s="298" t="s">
        <v>11</v>
      </c>
      <c r="CX46" s="298" t="s">
        <v>12</v>
      </c>
      <c r="CY46" s="299"/>
      <c r="CZ46" s="299"/>
      <c r="DA46" s="299"/>
      <c r="DB46" s="290"/>
    </row>
    <row r="47">
      <c r="Z47" s="84" t="s">
        <v>51</v>
      </c>
      <c r="AA47" s="92">
        <v>28.0</v>
      </c>
      <c r="AB47" s="92">
        <v>30.0</v>
      </c>
      <c r="AC47" s="92">
        <v>32.0</v>
      </c>
      <c r="AD47" s="92">
        <v>34.0</v>
      </c>
      <c r="AE47" s="92">
        <v>36.0</v>
      </c>
      <c r="AF47" s="92">
        <v>38.0</v>
      </c>
      <c r="AG47" s="92">
        <v>40.0</v>
      </c>
      <c r="AH47" s="92"/>
      <c r="AI47" s="92"/>
      <c r="AJ47" s="95">
        <v>28.0</v>
      </c>
      <c r="AK47" s="95">
        <v>30.0</v>
      </c>
      <c r="AL47" s="95">
        <v>32.0</v>
      </c>
      <c r="AM47" s="95">
        <v>34.0</v>
      </c>
      <c r="AN47" s="95">
        <v>36.0</v>
      </c>
      <c r="AO47" s="95">
        <v>38.0</v>
      </c>
      <c r="AP47" s="95">
        <v>40.0</v>
      </c>
      <c r="AQ47" s="95"/>
      <c r="AR47" s="95"/>
      <c r="AS47" s="96" t="s">
        <v>52</v>
      </c>
      <c r="AW47" s="139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20"/>
      <c r="BP47" s="120"/>
      <c r="BT47" s="104" t="s">
        <v>14</v>
      </c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>
        <f>1</f>
        <v>1</v>
      </c>
      <c r="CF47" s="108"/>
      <c r="CG47" s="108"/>
      <c r="CH47" s="108"/>
      <c r="CI47" s="108"/>
      <c r="CJ47" s="108"/>
      <c r="CK47" s="108"/>
      <c r="CL47" s="108"/>
      <c r="CM47" s="114">
        <f t="shared" si="27"/>
        <v>1</v>
      </c>
      <c r="CN47" s="306"/>
      <c r="CO47" s="300" t="s">
        <v>13</v>
      </c>
      <c r="CP47" s="48"/>
      <c r="CQ47" s="48"/>
      <c r="CR47" s="48"/>
      <c r="CS47" s="48"/>
      <c r="CT47" s="48"/>
      <c r="CU47" s="48"/>
      <c r="CV47" s="48"/>
      <c r="CW47" s="48"/>
      <c r="CX47" s="48"/>
      <c r="CY47" s="302">
        <f t="shared" ref="CY47:CY52" si="28">SUM(CP47:CX47)</f>
        <v>0</v>
      </c>
      <c r="CZ47" s="299"/>
      <c r="DA47" s="299"/>
      <c r="DB47" s="290"/>
    </row>
    <row r="48">
      <c r="Z48" s="84"/>
      <c r="AA48" s="101" t="s">
        <v>4</v>
      </c>
      <c r="AB48" s="101" t="s">
        <v>53</v>
      </c>
      <c r="AC48" s="101" t="s">
        <v>54</v>
      </c>
      <c r="AD48" s="101" t="s">
        <v>55</v>
      </c>
      <c r="AE48" s="101" t="s">
        <v>56</v>
      </c>
      <c r="AF48" s="101" t="s">
        <v>9</v>
      </c>
      <c r="AG48" s="101" t="s">
        <v>10</v>
      </c>
      <c r="AH48" s="101" t="s">
        <v>11</v>
      </c>
      <c r="AI48" s="102" t="s">
        <v>12</v>
      </c>
      <c r="AJ48" s="103" t="s">
        <v>4</v>
      </c>
      <c r="AK48" s="100" t="s">
        <v>53</v>
      </c>
      <c r="AL48" s="100" t="s">
        <v>54</v>
      </c>
      <c r="AM48" s="100" t="s">
        <v>55</v>
      </c>
      <c r="AN48" s="100" t="s">
        <v>56</v>
      </c>
      <c r="AO48" s="100" t="s">
        <v>9</v>
      </c>
      <c r="AP48" s="100" t="s">
        <v>10</v>
      </c>
      <c r="AQ48" s="100" t="s">
        <v>11</v>
      </c>
      <c r="AR48" s="100" t="s">
        <v>12</v>
      </c>
      <c r="AS48" s="99"/>
      <c r="AW48" s="165" t="s">
        <v>83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8"/>
      <c r="BO48" s="166"/>
      <c r="BP48" s="120"/>
      <c r="BT48" s="104" t="s">
        <v>68</v>
      </c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14">
        <f t="shared" si="27"/>
        <v>0</v>
      </c>
      <c r="CN48" s="306"/>
      <c r="CO48" s="300" t="s">
        <v>14</v>
      </c>
      <c r="CP48" s="48"/>
      <c r="CQ48" s="48"/>
      <c r="CR48" s="303"/>
      <c r="CS48" s="303"/>
      <c r="CT48" s="48"/>
      <c r="CU48" s="315"/>
      <c r="CV48" s="48"/>
      <c r="CW48" s="48"/>
      <c r="CX48" s="48"/>
      <c r="CY48" s="302">
        <f t="shared" si="28"/>
        <v>0</v>
      </c>
      <c r="CZ48" s="299"/>
      <c r="DA48" s="299"/>
      <c r="DB48" s="290"/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353"/>
      <c r="L49" s="353"/>
      <c r="M49" s="353"/>
      <c r="N49" s="353"/>
      <c r="O49" s="353"/>
      <c r="P49" s="353"/>
      <c r="Q49" s="353"/>
      <c r="R49" s="353"/>
      <c r="S49" s="354"/>
      <c r="Z49" s="104" t="s">
        <v>15</v>
      </c>
      <c r="AA49" s="121"/>
      <c r="AB49" s="121"/>
      <c r="AC49" s="108"/>
      <c r="AD49" s="108"/>
      <c r="AE49" s="108"/>
      <c r="AF49" s="108"/>
      <c r="AG49" s="108"/>
      <c r="AH49" s="108"/>
      <c r="AI49" s="108"/>
      <c r="AJ49" s="108">
        <f>1</f>
        <v>1</v>
      </c>
      <c r="AK49" s="121"/>
      <c r="AL49" s="108"/>
      <c r="AM49" s="108"/>
      <c r="AN49" s="121"/>
      <c r="AO49" s="121"/>
      <c r="AP49" s="108"/>
      <c r="AQ49" s="108"/>
      <c r="AR49" s="108"/>
      <c r="AS49" s="121">
        <f t="shared" ref="AS49:AS53" si="29">SUM(AA49:AR49)</f>
        <v>1</v>
      </c>
      <c r="AW49" s="167" t="s">
        <v>84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8"/>
      <c r="BO49" s="166"/>
      <c r="BP49" s="120"/>
      <c r="BT49" s="104" t="s">
        <v>57</v>
      </c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14">
        <f t="shared" si="27"/>
        <v>0</v>
      </c>
      <c r="CN49" s="306"/>
      <c r="CO49" s="300" t="s">
        <v>140</v>
      </c>
      <c r="CP49" s="303">
        <f>1</f>
        <v>1</v>
      </c>
      <c r="CQ49" s="48"/>
      <c r="CR49" s="48"/>
      <c r="CS49" s="48"/>
      <c r="CT49" s="48"/>
      <c r="CU49" s="48"/>
      <c r="CV49" s="48"/>
      <c r="CW49" s="48"/>
      <c r="CX49" s="48"/>
      <c r="CY49" s="302">
        <f t="shared" si="28"/>
        <v>1</v>
      </c>
      <c r="CZ49" s="299"/>
      <c r="DA49" s="299"/>
      <c r="DB49" s="290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  <c r="Z50" s="115" t="s">
        <v>13</v>
      </c>
      <c r="AA50" s="121"/>
      <c r="AB50" s="121"/>
      <c r="AC50" s="108"/>
      <c r="AD50" s="108"/>
      <c r="AE50" s="121"/>
      <c r="AF50" s="121"/>
      <c r="AG50" s="108"/>
      <c r="AH50" s="121"/>
      <c r="AI50" s="108"/>
      <c r="AJ50" s="138"/>
      <c r="AK50" s="121"/>
      <c r="AL50" s="121">
        <f>1</f>
        <v>1</v>
      </c>
      <c r="AM50" s="108"/>
      <c r="AN50" s="121"/>
      <c r="AO50" s="121"/>
      <c r="AP50" s="108"/>
      <c r="AQ50" s="108"/>
      <c r="AR50" s="108"/>
      <c r="AS50" s="121">
        <f t="shared" si="29"/>
        <v>1</v>
      </c>
      <c r="AW50" s="83" t="s">
        <v>43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8"/>
      <c r="BN50" s="96" t="s">
        <v>85</v>
      </c>
      <c r="BO50" s="166"/>
      <c r="BP50" s="120"/>
      <c r="BT50" s="168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21">
        <f>SUM(CM46:CM49)</f>
        <v>1</v>
      </c>
      <c r="CN50" s="306"/>
      <c r="CO50" s="300" t="s">
        <v>16</v>
      </c>
      <c r="CP50" s="48"/>
      <c r="CQ50" s="48"/>
      <c r="CR50" s="48"/>
      <c r="CS50" s="48"/>
      <c r="CT50" s="48"/>
      <c r="CU50" s="303"/>
      <c r="CV50" s="48"/>
      <c r="CW50" s="48"/>
      <c r="CX50" s="48"/>
      <c r="CY50" s="302">
        <f t="shared" si="28"/>
        <v>0</v>
      </c>
      <c r="CZ50" s="299"/>
      <c r="DA50" s="299"/>
      <c r="DB50" s="290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  <c r="Z51" s="104" t="s">
        <v>86</v>
      </c>
      <c r="AA51" s="121"/>
      <c r="AB51" s="121"/>
      <c r="AC51" s="121"/>
      <c r="AD51" s="121"/>
      <c r="AE51" s="121"/>
      <c r="AF51" s="121"/>
      <c r="AG51" s="121"/>
      <c r="AH51" s="121"/>
      <c r="AI51" s="137"/>
      <c r="AJ51" s="138"/>
      <c r="AK51" s="121"/>
      <c r="AL51" s="121"/>
      <c r="AM51" s="121">
        <f>1</f>
        <v>1</v>
      </c>
      <c r="AN51" s="121"/>
      <c r="AO51" s="121"/>
      <c r="AP51" s="121"/>
      <c r="AQ51" s="121"/>
      <c r="AR51" s="121"/>
      <c r="AS51" s="121">
        <f t="shared" si="29"/>
        <v>1</v>
      </c>
      <c r="AW51" s="169" t="s">
        <v>87</v>
      </c>
      <c r="AX51" s="3"/>
      <c r="AY51" s="3"/>
      <c r="AZ51" s="3"/>
      <c r="BA51" s="3"/>
      <c r="BB51" s="3"/>
      <c r="BC51" s="3"/>
      <c r="BD51" s="4"/>
      <c r="BE51" s="95">
        <v>28.0</v>
      </c>
      <c r="BF51" s="95">
        <v>30.0</v>
      </c>
      <c r="BG51" s="95">
        <v>32.0</v>
      </c>
      <c r="BH51" s="95">
        <v>34.0</v>
      </c>
      <c r="BI51" s="95">
        <v>36.0</v>
      </c>
      <c r="BJ51" s="95">
        <v>38.0</v>
      </c>
      <c r="BK51" s="95">
        <v>40.0</v>
      </c>
      <c r="BL51" s="95">
        <v>42.0</v>
      </c>
      <c r="BM51" s="95">
        <v>44.0</v>
      </c>
      <c r="BN51" s="170"/>
      <c r="BO51" s="166"/>
      <c r="BP51" s="120"/>
      <c r="BT51" s="168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306"/>
      <c r="CO51" s="300" t="s">
        <v>19</v>
      </c>
      <c r="CP51" s="48"/>
      <c r="CQ51" s="48"/>
      <c r="CR51" s="48"/>
      <c r="CS51" s="48"/>
      <c r="CT51" s="48">
        <f>1</f>
        <v>1</v>
      </c>
      <c r="CU51" s="48"/>
      <c r="CV51" s="48"/>
      <c r="CW51" s="48"/>
      <c r="CX51" s="48"/>
      <c r="CY51" s="302">
        <f t="shared" si="28"/>
        <v>1</v>
      </c>
      <c r="CZ51" s="299"/>
      <c r="DA51" s="299"/>
      <c r="DB51" s="290"/>
    </row>
    <row r="52">
      <c r="A52" s="47" t="s">
        <v>13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 t="shared" ref="K52:K57" si="30">SUM(B52:J52)</f>
        <v>0</v>
      </c>
      <c r="L52" s="31"/>
      <c r="M52" s="31"/>
      <c r="N52" s="31"/>
      <c r="O52" s="31"/>
      <c r="P52" s="31"/>
      <c r="Q52" s="31"/>
      <c r="R52" s="31"/>
      <c r="S52" s="31"/>
      <c r="Z52" s="115" t="s">
        <v>25</v>
      </c>
      <c r="AA52" s="108"/>
      <c r="AB52" s="121"/>
      <c r="AC52" s="108"/>
      <c r="AD52" s="108"/>
      <c r="AE52" s="121"/>
      <c r="AF52" s="121"/>
      <c r="AG52" s="108"/>
      <c r="AH52" s="108"/>
      <c r="AI52" s="137"/>
      <c r="AJ52" s="138"/>
      <c r="AK52" s="121"/>
      <c r="AL52" s="121"/>
      <c r="AM52" s="121"/>
      <c r="AN52" s="121">
        <f>1</f>
        <v>1</v>
      </c>
      <c r="AO52" s="121"/>
      <c r="AP52" s="121"/>
      <c r="AQ52" s="108"/>
      <c r="AR52" s="108"/>
      <c r="AS52" s="121">
        <f t="shared" si="29"/>
        <v>1</v>
      </c>
      <c r="AW52" s="171"/>
      <c r="AX52" s="128"/>
      <c r="AY52" s="128"/>
      <c r="AZ52" s="128"/>
      <c r="BA52" s="128"/>
      <c r="BB52" s="128"/>
      <c r="BC52" s="128"/>
      <c r="BD52" s="162"/>
      <c r="BE52" s="95" t="s">
        <v>4</v>
      </c>
      <c r="BF52" s="95" t="s">
        <v>53</v>
      </c>
      <c r="BG52" s="95" t="s">
        <v>54</v>
      </c>
      <c r="BH52" s="95" t="s">
        <v>55</v>
      </c>
      <c r="BI52" s="95" t="s">
        <v>56</v>
      </c>
      <c r="BJ52" s="95" t="s">
        <v>88</v>
      </c>
      <c r="BK52" s="95" t="s">
        <v>89</v>
      </c>
      <c r="BL52" s="95" t="s">
        <v>90</v>
      </c>
      <c r="BM52" s="95" t="s">
        <v>91</v>
      </c>
      <c r="BN52" s="172"/>
      <c r="BO52" s="173"/>
      <c r="BP52" s="120"/>
      <c r="BT52" s="83" t="s">
        <v>92</v>
      </c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8"/>
      <c r="CM52" s="120"/>
      <c r="CN52" s="306"/>
      <c r="CO52" s="300" t="s">
        <v>41</v>
      </c>
      <c r="CP52" s="48"/>
      <c r="CQ52" s="48"/>
      <c r="CR52" s="48"/>
      <c r="CS52" s="48"/>
      <c r="CT52" s="48"/>
      <c r="CU52" s="48"/>
      <c r="CV52" s="48"/>
      <c r="CW52" s="48"/>
      <c r="CX52" s="303"/>
      <c r="CY52" s="302">
        <f t="shared" si="28"/>
        <v>0</v>
      </c>
      <c r="CZ52" s="299"/>
      <c r="DA52" s="299"/>
      <c r="DB52" s="290"/>
    </row>
    <row r="53">
      <c r="A53" s="47" t="s">
        <v>14</v>
      </c>
      <c r="B53" s="63"/>
      <c r="C53" s="63">
        <f>1</f>
        <v>1</v>
      </c>
      <c r="D53" s="63"/>
      <c r="E53" s="63"/>
      <c r="F53" s="63"/>
      <c r="G53" s="63"/>
      <c r="H53" s="63"/>
      <c r="I53" s="63"/>
      <c r="J53" s="63"/>
      <c r="K53" s="64">
        <f t="shared" si="30"/>
        <v>1</v>
      </c>
      <c r="L53" s="31"/>
      <c r="M53" s="31"/>
      <c r="N53" s="31"/>
      <c r="O53" s="31"/>
      <c r="P53" s="31"/>
      <c r="Q53" s="31"/>
      <c r="R53" s="31"/>
      <c r="S53" s="31"/>
      <c r="Z53" s="115" t="s">
        <v>22</v>
      </c>
      <c r="AA53" s="121">
        <f>1</f>
        <v>1</v>
      </c>
      <c r="AB53" s="121"/>
      <c r="AC53" s="121"/>
      <c r="AD53" s="121"/>
      <c r="AE53" s="121"/>
      <c r="AF53" s="121"/>
      <c r="AG53" s="108"/>
      <c r="AH53" s="108"/>
      <c r="AI53" s="137"/>
      <c r="AJ53" s="138"/>
      <c r="AK53" s="121"/>
      <c r="AL53" s="121"/>
      <c r="AM53" s="121"/>
      <c r="AN53" s="121"/>
      <c r="AO53" s="121"/>
      <c r="AP53" s="108"/>
      <c r="AQ53" s="108"/>
      <c r="AR53" s="108"/>
      <c r="AS53" s="121">
        <f t="shared" si="29"/>
        <v>1</v>
      </c>
      <c r="AW53" s="174" t="s">
        <v>67</v>
      </c>
      <c r="AX53" s="7"/>
      <c r="AY53" s="7"/>
      <c r="AZ53" s="7"/>
      <c r="BA53" s="7"/>
      <c r="BB53" s="7"/>
      <c r="BC53" s="7"/>
      <c r="BD53" s="8"/>
      <c r="BE53" s="108"/>
      <c r="BF53" s="108"/>
      <c r="BG53" s="108"/>
      <c r="BH53" s="108"/>
      <c r="BI53" s="108"/>
      <c r="BJ53" s="108"/>
      <c r="BK53" s="108"/>
      <c r="BL53" s="108"/>
      <c r="BM53" s="108"/>
      <c r="BN53" s="175">
        <f t="shared" ref="BN53:BN54" si="31">SUM(BE53:BM53)</f>
        <v>0</v>
      </c>
      <c r="BO53" s="162"/>
      <c r="BP53" s="166"/>
      <c r="BT53" s="176" t="s">
        <v>84</v>
      </c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  <c r="CM53" s="120"/>
      <c r="CN53" s="306"/>
      <c r="CO53" s="119"/>
      <c r="CP53" s="304"/>
      <c r="CQ53" s="304"/>
      <c r="CR53" s="304"/>
      <c r="CS53" s="304"/>
      <c r="CT53" s="304"/>
      <c r="CU53" s="304"/>
      <c r="CV53" s="304"/>
      <c r="CW53" s="304"/>
      <c r="CX53" s="304"/>
      <c r="CY53" s="316">
        <f>SUM(CY47:CY52)</f>
        <v>2</v>
      </c>
      <c r="CZ53" s="299"/>
      <c r="DA53" s="299"/>
      <c r="DB53" s="290"/>
    </row>
    <row r="54">
      <c r="A54" s="47" t="s">
        <v>44</v>
      </c>
      <c r="B54" s="63"/>
      <c r="C54" s="63"/>
      <c r="D54" s="63"/>
      <c r="E54" s="63">
        <f>1</f>
        <v>1</v>
      </c>
      <c r="F54" s="63"/>
      <c r="G54" s="63"/>
      <c r="H54" s="63"/>
      <c r="I54" s="63"/>
      <c r="J54" s="63"/>
      <c r="K54" s="64">
        <f t="shared" si="30"/>
        <v>1</v>
      </c>
      <c r="L54" s="31"/>
      <c r="M54" s="31"/>
      <c r="N54" s="31"/>
      <c r="O54" s="31"/>
      <c r="P54" s="31"/>
      <c r="Q54" s="31"/>
      <c r="R54" s="31"/>
      <c r="S54" s="31"/>
      <c r="Z54" s="119"/>
      <c r="AA54" s="120"/>
      <c r="AB54" s="120" t="s">
        <v>60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>
        <f>SUM(AS49:AS53)</f>
        <v>5</v>
      </c>
      <c r="AW54" s="174" t="s">
        <v>14</v>
      </c>
      <c r="AX54" s="7"/>
      <c r="AY54" s="7"/>
      <c r="AZ54" s="7"/>
      <c r="BA54" s="7"/>
      <c r="BB54" s="7"/>
      <c r="BC54" s="7"/>
      <c r="BD54" s="8"/>
      <c r="BE54" s="108"/>
      <c r="BF54" s="108"/>
      <c r="BG54" s="108"/>
      <c r="BH54" s="108"/>
      <c r="BI54" s="108"/>
      <c r="BJ54" s="108"/>
      <c r="BK54" s="108"/>
      <c r="BL54" s="108"/>
      <c r="BM54" s="108"/>
      <c r="BN54" s="98">
        <f t="shared" si="31"/>
        <v>0</v>
      </c>
      <c r="BO54" s="8"/>
      <c r="BP54" s="166"/>
      <c r="BT54" s="176" t="s">
        <v>43</v>
      </c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60"/>
      <c r="CM54" s="120"/>
      <c r="CO54" s="227"/>
      <c r="CP54" s="290"/>
      <c r="CQ54" s="290"/>
      <c r="CR54" s="290"/>
      <c r="CS54" s="290"/>
      <c r="CT54" s="290"/>
      <c r="CU54" s="290"/>
      <c r="CV54" s="290"/>
      <c r="CW54" s="290"/>
      <c r="CX54" s="290"/>
      <c r="CY54" s="290"/>
      <c r="CZ54" s="290"/>
      <c r="DA54" s="290"/>
      <c r="DB54" s="290"/>
    </row>
    <row r="55">
      <c r="A55" s="47" t="s">
        <v>16</v>
      </c>
      <c r="B55" s="63">
        <f t="shared" ref="B55:B57" si="32">1</f>
        <v>1</v>
      </c>
      <c r="C55" s="63"/>
      <c r="D55" s="63"/>
      <c r="E55" s="63"/>
      <c r="F55" s="63"/>
      <c r="G55" s="63"/>
      <c r="H55" s="63"/>
      <c r="I55" s="63"/>
      <c r="J55" s="63"/>
      <c r="K55" s="64">
        <f t="shared" si="30"/>
        <v>1</v>
      </c>
      <c r="L55" s="31"/>
      <c r="M55" s="31"/>
      <c r="N55" s="31"/>
      <c r="O55" s="31"/>
      <c r="P55" s="31"/>
      <c r="Q55" s="31"/>
      <c r="R55" s="31"/>
      <c r="S55" s="31"/>
      <c r="AW55" s="178"/>
      <c r="AX55" s="179"/>
      <c r="AY55" s="179"/>
      <c r="AZ55" s="179"/>
      <c r="BA55" s="179"/>
      <c r="BB55" s="179"/>
      <c r="BC55" s="179"/>
      <c r="BD55" s="179"/>
      <c r="BE55" s="120"/>
      <c r="BF55" s="120"/>
      <c r="BG55" s="120"/>
      <c r="BH55" s="120"/>
      <c r="BI55" s="120"/>
      <c r="BJ55" s="120"/>
      <c r="BK55" s="120"/>
      <c r="BL55" s="120"/>
      <c r="BM55" s="180"/>
      <c r="BN55" s="181">
        <f>SUM(BN53:BO54)</f>
        <v>0</v>
      </c>
      <c r="BO55" s="8"/>
      <c r="BP55" s="166"/>
      <c r="BT55" s="182" t="s">
        <v>87</v>
      </c>
      <c r="BU55" s="3"/>
      <c r="BV55" s="3"/>
      <c r="BW55" s="3"/>
      <c r="BX55" s="3"/>
      <c r="BY55" s="3"/>
      <c r="BZ55" s="3"/>
      <c r="CA55" s="4"/>
      <c r="CB55" s="114">
        <v>28.0</v>
      </c>
      <c r="CC55" s="114">
        <v>30.0</v>
      </c>
      <c r="CD55" s="114">
        <v>32.0</v>
      </c>
      <c r="CE55" s="114">
        <v>34.0</v>
      </c>
      <c r="CF55" s="114">
        <v>36.0</v>
      </c>
      <c r="CG55" s="114">
        <v>38.0</v>
      </c>
      <c r="CH55" s="114">
        <v>40.0</v>
      </c>
      <c r="CI55" s="114">
        <v>42.0</v>
      </c>
      <c r="CJ55" s="114">
        <v>44.0</v>
      </c>
      <c r="CK55" s="183" t="s">
        <v>76</v>
      </c>
      <c r="CL55" s="4"/>
      <c r="CM55" s="120"/>
      <c r="CN55" s="306"/>
      <c r="CO55" s="119"/>
      <c r="CP55" s="292" t="s">
        <v>144</v>
      </c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8"/>
      <c r="DB55" s="290"/>
    </row>
    <row r="56">
      <c r="A56" s="47" t="s">
        <v>40</v>
      </c>
      <c r="B56" s="63">
        <f t="shared" si="32"/>
        <v>1</v>
      </c>
      <c r="C56" s="63"/>
      <c r="D56" s="63"/>
      <c r="E56" s="63"/>
      <c r="F56" s="63"/>
      <c r="G56" s="63"/>
      <c r="H56" s="63"/>
      <c r="I56" s="63"/>
      <c r="J56" s="63"/>
      <c r="K56" s="64">
        <f t="shared" si="30"/>
        <v>1</v>
      </c>
      <c r="L56" s="31"/>
      <c r="M56" s="31"/>
      <c r="N56" s="31"/>
      <c r="O56" s="31"/>
      <c r="P56" s="31"/>
      <c r="Q56" s="31"/>
      <c r="R56" s="31"/>
      <c r="S56" s="31"/>
      <c r="Z56" s="355" t="s">
        <v>93</v>
      </c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356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84"/>
      <c r="BO56" s="184"/>
      <c r="BP56" s="120"/>
      <c r="BT56" s="171"/>
      <c r="BU56" s="128"/>
      <c r="BV56" s="128"/>
      <c r="BW56" s="128"/>
      <c r="BX56" s="128"/>
      <c r="BY56" s="128"/>
      <c r="BZ56" s="128"/>
      <c r="CA56" s="162"/>
      <c r="CB56" s="111" t="s">
        <v>4</v>
      </c>
      <c r="CC56" s="111" t="s">
        <v>53</v>
      </c>
      <c r="CD56" s="111" t="s">
        <v>54</v>
      </c>
      <c r="CE56" s="111" t="s">
        <v>55</v>
      </c>
      <c r="CF56" s="111" t="s">
        <v>56</v>
      </c>
      <c r="CG56" s="111" t="s">
        <v>9</v>
      </c>
      <c r="CH56" s="111" t="s">
        <v>10</v>
      </c>
      <c r="CI56" s="111" t="s">
        <v>11</v>
      </c>
      <c r="CJ56" s="111" t="s">
        <v>12</v>
      </c>
      <c r="CK56" s="171"/>
      <c r="CL56" s="162"/>
      <c r="CM56" s="120"/>
      <c r="CN56" s="306"/>
      <c r="CO56" s="119"/>
      <c r="CP56" s="349" t="s">
        <v>43</v>
      </c>
      <c r="CQ56" s="326"/>
      <c r="CR56" s="326"/>
      <c r="CS56" s="326"/>
      <c r="CT56" s="326"/>
      <c r="CU56" s="326"/>
      <c r="CV56" s="326"/>
      <c r="CW56" s="326"/>
      <c r="CX56" s="327"/>
      <c r="CY56" s="299"/>
      <c r="CZ56" s="299"/>
      <c r="DA56" s="299"/>
      <c r="DB56" s="290"/>
    </row>
    <row r="57">
      <c r="A57" s="47" t="s">
        <v>41</v>
      </c>
      <c r="B57" s="63">
        <f t="shared" si="32"/>
        <v>1</v>
      </c>
      <c r="C57" s="63"/>
      <c r="D57" s="63"/>
      <c r="E57" s="63"/>
      <c r="F57" s="63"/>
      <c r="G57" s="63"/>
      <c r="H57" s="63"/>
      <c r="I57" s="63"/>
      <c r="J57" s="63"/>
      <c r="K57" s="65">
        <f t="shared" si="30"/>
        <v>1</v>
      </c>
      <c r="L57" s="66"/>
      <c r="M57" s="31"/>
      <c r="N57" s="31"/>
      <c r="O57" s="31"/>
      <c r="P57" s="31"/>
      <c r="Q57" s="31"/>
      <c r="R57" s="31"/>
      <c r="S57" s="31"/>
      <c r="Z57" s="104"/>
      <c r="AA57" s="85" t="s">
        <v>1</v>
      </c>
      <c r="AB57" s="7"/>
      <c r="AC57" s="7"/>
      <c r="AD57" s="7"/>
      <c r="AE57" s="7"/>
      <c r="AF57" s="7"/>
      <c r="AG57" s="7"/>
      <c r="AH57" s="7"/>
      <c r="AI57" s="8"/>
      <c r="AJ57" s="86" t="s">
        <v>2</v>
      </c>
      <c r="AK57" s="7"/>
      <c r="AL57" s="7"/>
      <c r="AM57" s="7"/>
      <c r="AN57" s="7"/>
      <c r="AO57" s="7"/>
      <c r="AP57" s="7"/>
      <c r="AQ57" s="7"/>
      <c r="AR57" s="7"/>
      <c r="AS57" s="185"/>
      <c r="AW57" s="119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84"/>
      <c r="BO57" s="184"/>
      <c r="BP57" s="120"/>
      <c r="BT57" s="174" t="s">
        <v>94</v>
      </c>
      <c r="BU57" s="7"/>
      <c r="BV57" s="7"/>
      <c r="BW57" s="7"/>
      <c r="BX57" s="7"/>
      <c r="BY57" s="7"/>
      <c r="BZ57" s="7"/>
      <c r="CA57" s="8"/>
      <c r="CB57" s="108"/>
      <c r="CC57" s="108"/>
      <c r="CD57" s="108"/>
      <c r="CE57" s="108"/>
      <c r="CF57" s="108">
        <f>1</f>
        <v>1</v>
      </c>
      <c r="CG57" s="108"/>
      <c r="CH57" s="108"/>
      <c r="CI57" s="108"/>
      <c r="CJ57" s="108"/>
      <c r="CK57" s="98">
        <f t="shared" ref="CK57:CK58" si="33">SUM(CB57:CJ57)</f>
        <v>1</v>
      </c>
      <c r="CL57" s="8"/>
      <c r="CM57" s="120"/>
      <c r="CN57" s="306"/>
      <c r="CO57" s="317" t="s">
        <v>3</v>
      </c>
      <c r="CP57" s="308" t="s">
        <v>4</v>
      </c>
      <c r="CQ57" s="309" t="s">
        <v>5</v>
      </c>
      <c r="CR57" s="309" t="s">
        <v>6</v>
      </c>
      <c r="CS57" s="309" t="s">
        <v>7</v>
      </c>
      <c r="CT57" s="309" t="s">
        <v>8</v>
      </c>
      <c r="CU57" s="309" t="s">
        <v>9</v>
      </c>
      <c r="CV57" s="309" t="s">
        <v>10</v>
      </c>
      <c r="CW57" s="309" t="s">
        <v>11</v>
      </c>
      <c r="CX57" s="309" t="s">
        <v>12</v>
      </c>
      <c r="CY57" s="299"/>
      <c r="CZ57" s="299"/>
      <c r="DA57" s="299"/>
      <c r="DB57" s="290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5</v>
      </c>
      <c r="L58" s="357"/>
      <c r="M58" s="70"/>
      <c r="N58" s="31"/>
      <c r="O58" s="31"/>
      <c r="P58" s="31"/>
      <c r="Q58" s="31"/>
      <c r="R58" s="31"/>
      <c r="S58" s="31"/>
      <c r="Z58" s="104" t="s">
        <v>51</v>
      </c>
      <c r="AA58" s="101" t="s">
        <v>4</v>
      </c>
      <c r="AB58" s="101" t="s">
        <v>53</v>
      </c>
      <c r="AC58" s="101" t="s">
        <v>54</v>
      </c>
      <c r="AD58" s="101" t="s">
        <v>55</v>
      </c>
      <c r="AE58" s="101" t="s">
        <v>56</v>
      </c>
      <c r="AF58" s="101" t="s">
        <v>9</v>
      </c>
      <c r="AG58" s="101" t="s">
        <v>10</v>
      </c>
      <c r="AH58" s="101" t="s">
        <v>11</v>
      </c>
      <c r="AI58" s="102" t="s">
        <v>12</v>
      </c>
      <c r="AJ58" s="103" t="s">
        <v>4</v>
      </c>
      <c r="AK58" s="100" t="s">
        <v>53</v>
      </c>
      <c r="AL58" s="100" t="s">
        <v>54</v>
      </c>
      <c r="AM58" s="100" t="s">
        <v>55</v>
      </c>
      <c r="AN58" s="100" t="s">
        <v>56</v>
      </c>
      <c r="AO58" s="100" t="s">
        <v>9</v>
      </c>
      <c r="AP58" s="100" t="s">
        <v>10</v>
      </c>
      <c r="AQ58" s="100" t="s">
        <v>11</v>
      </c>
      <c r="AR58" s="100" t="s">
        <v>12</v>
      </c>
      <c r="AS58" s="95" t="s">
        <v>52</v>
      </c>
      <c r="BT58" s="189" t="s">
        <v>58</v>
      </c>
      <c r="BU58" s="7"/>
      <c r="BV58" s="7"/>
      <c r="BW58" s="7"/>
      <c r="BX58" s="7"/>
      <c r="BY58" s="7"/>
      <c r="BZ58" s="7"/>
      <c r="CA58" s="8"/>
      <c r="CB58" s="108"/>
      <c r="CC58" s="108"/>
      <c r="CD58" s="108">
        <f>1</f>
        <v>1</v>
      </c>
      <c r="CE58" s="108"/>
      <c r="CF58" s="108"/>
      <c r="CG58" s="108"/>
      <c r="CH58" s="108"/>
      <c r="CI58" s="108"/>
      <c r="CJ58" s="108"/>
      <c r="CK58" s="98">
        <f t="shared" si="33"/>
        <v>1</v>
      </c>
      <c r="CL58" s="8"/>
      <c r="CM58" s="120"/>
      <c r="CN58" s="306"/>
      <c r="CO58" s="117" t="s">
        <v>2</v>
      </c>
      <c r="CP58" s="318">
        <v>0.0</v>
      </c>
      <c r="CQ58" s="318">
        <v>0.0</v>
      </c>
      <c r="CR58" s="318">
        <v>0.0</v>
      </c>
      <c r="CS58" s="318">
        <v>0.0</v>
      </c>
      <c r="CT58" s="318">
        <v>0.0</v>
      </c>
      <c r="CU58" s="318">
        <v>0.0</v>
      </c>
      <c r="CV58" s="318">
        <v>0.0</v>
      </c>
      <c r="CW58" s="318">
        <v>0.0</v>
      </c>
      <c r="CX58" s="318">
        <v>0.0</v>
      </c>
      <c r="CY58" s="318">
        <f t="shared" ref="CY58:CY59" si="34">SUM(CP58:CX58)</f>
        <v>0</v>
      </c>
      <c r="CZ58" s="299"/>
      <c r="DA58" s="299"/>
      <c r="DB58" s="290"/>
    </row>
    <row r="59">
      <c r="Z59" s="104" t="s">
        <v>96</v>
      </c>
      <c r="AA59" s="121">
        <f>1</f>
        <v>1</v>
      </c>
      <c r="AB59" s="121"/>
      <c r="AC59" s="121"/>
      <c r="AD59" s="121"/>
      <c r="AE59" s="121"/>
      <c r="AF59" s="121"/>
      <c r="AG59" s="121"/>
      <c r="AH59" s="121"/>
      <c r="AI59" s="137"/>
      <c r="AJ59" s="138"/>
      <c r="AK59" s="121"/>
      <c r="AL59" s="121"/>
      <c r="AM59" s="108"/>
      <c r="AN59" s="121"/>
      <c r="AO59" s="121"/>
      <c r="AP59" s="121"/>
      <c r="AQ59" s="121"/>
      <c r="AR59" s="121"/>
      <c r="AS59" s="114">
        <f>SUM(AA59:AR59)</f>
        <v>1</v>
      </c>
      <c r="BT59" s="119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81">
        <f>SUM(CK57:CL58)</f>
        <v>2</v>
      </c>
      <c r="CL59" s="8"/>
      <c r="CM59" s="131"/>
      <c r="CN59" s="306"/>
      <c r="CO59" s="300" t="s">
        <v>145</v>
      </c>
      <c r="CP59" s="318">
        <v>0.0</v>
      </c>
      <c r="CQ59" s="318">
        <v>0.0</v>
      </c>
      <c r="CR59" s="318">
        <v>0.0</v>
      </c>
      <c r="CS59" s="318">
        <v>0.0</v>
      </c>
      <c r="CT59" s="318">
        <v>0.0</v>
      </c>
      <c r="CU59" s="318">
        <v>0.0</v>
      </c>
      <c r="CV59" s="318">
        <v>0.0</v>
      </c>
      <c r="CW59" s="318">
        <v>0.0</v>
      </c>
      <c r="CX59" s="318">
        <v>0.0</v>
      </c>
      <c r="CY59" s="318">
        <f t="shared" si="34"/>
        <v>0</v>
      </c>
      <c r="CZ59" s="299"/>
      <c r="DA59" s="299"/>
      <c r="DB59" s="290"/>
    </row>
    <row r="60">
      <c r="Z60" s="119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1">
        <f>SUM(AS59)</f>
        <v>1</v>
      </c>
      <c r="CN60" s="306"/>
      <c r="CO60" s="119"/>
      <c r="CP60" s="299"/>
      <c r="CQ60" s="299"/>
      <c r="CR60" s="299"/>
      <c r="CS60" s="299"/>
      <c r="CT60" s="299"/>
      <c r="CU60" s="299"/>
      <c r="CV60" s="299"/>
      <c r="CW60" s="299"/>
      <c r="CX60" s="299"/>
      <c r="CY60" s="319">
        <f>SUM(CY58:CY59)</f>
        <v>0</v>
      </c>
      <c r="CZ60" s="299"/>
      <c r="DA60" s="299"/>
      <c r="DB60" s="290"/>
    </row>
    <row r="61">
      <c r="Z61" s="119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3"/>
      <c r="BT61" s="83" t="s">
        <v>99</v>
      </c>
      <c r="BU61" s="7"/>
      <c r="BV61" s="7"/>
      <c r="BW61" s="7"/>
      <c r="BX61" s="7"/>
      <c r="BY61" s="7"/>
      <c r="BZ61" s="7"/>
      <c r="CA61" s="7"/>
      <c r="CB61" s="7"/>
      <c r="CC61" s="8"/>
      <c r="CD61" s="195"/>
      <c r="CO61" s="227"/>
      <c r="CP61" s="290"/>
      <c r="CQ61" s="290"/>
      <c r="CR61" s="290"/>
      <c r="CS61" s="290"/>
      <c r="CT61" s="290"/>
      <c r="CU61" s="290"/>
      <c r="CV61" s="290"/>
      <c r="CW61" s="290"/>
      <c r="CX61" s="290"/>
      <c r="CY61" s="290"/>
      <c r="CZ61" s="290"/>
      <c r="DA61" s="290"/>
      <c r="DB61" s="290"/>
    </row>
    <row r="62">
      <c r="Z62" s="119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3"/>
      <c r="BT62" s="104"/>
      <c r="BU62" s="114"/>
      <c r="BV62" s="91"/>
      <c r="BW62" s="7"/>
      <c r="BX62" s="7"/>
      <c r="BY62" s="7"/>
      <c r="BZ62" s="7"/>
      <c r="CA62" s="7"/>
      <c r="CB62" s="8"/>
      <c r="CC62" s="114"/>
      <c r="CD62" s="120"/>
      <c r="CO62" s="227"/>
      <c r="CP62" s="290"/>
      <c r="CQ62" s="290"/>
      <c r="CR62" s="290"/>
      <c r="CS62" s="290"/>
      <c r="CT62" s="290"/>
      <c r="CU62" s="290"/>
      <c r="CV62" s="290"/>
      <c r="CW62" s="290"/>
      <c r="CX62" s="290"/>
      <c r="CY62" s="290"/>
      <c r="CZ62" s="290"/>
      <c r="DA62" s="290"/>
      <c r="DB62" s="290"/>
    </row>
    <row r="63">
      <c r="Z63" s="119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BT63" s="90" t="s">
        <v>87</v>
      </c>
      <c r="BU63" s="114"/>
      <c r="BV63" s="114"/>
      <c r="BW63" s="114"/>
      <c r="BX63" s="114"/>
      <c r="BY63" s="114"/>
      <c r="BZ63" s="114"/>
      <c r="CA63" s="114"/>
      <c r="CB63" s="114"/>
      <c r="CC63" s="114"/>
      <c r="CD63" s="111" t="s">
        <v>85</v>
      </c>
      <c r="CO63" s="227"/>
      <c r="CP63" s="290"/>
      <c r="CQ63" s="290"/>
      <c r="CR63" s="290"/>
      <c r="CS63" s="290"/>
      <c r="CT63" s="290"/>
      <c r="CU63" s="290"/>
      <c r="CV63" s="290"/>
      <c r="CW63" s="290"/>
      <c r="CX63" s="290"/>
      <c r="CY63" s="290"/>
      <c r="CZ63" s="290"/>
      <c r="DA63" s="290"/>
      <c r="DB63" s="290"/>
    </row>
    <row r="64">
      <c r="Z64" s="358" t="s">
        <v>100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356"/>
      <c r="BT64" s="99"/>
      <c r="BU64" s="199" t="s">
        <v>4</v>
      </c>
      <c r="BV64" s="111" t="s">
        <v>53</v>
      </c>
      <c r="BW64" s="111" t="s">
        <v>54</v>
      </c>
      <c r="BX64" s="111" t="s">
        <v>55</v>
      </c>
      <c r="BY64" s="111" t="s">
        <v>56</v>
      </c>
      <c r="BZ64" s="111" t="s">
        <v>9</v>
      </c>
      <c r="CA64" s="111" t="s">
        <v>10</v>
      </c>
      <c r="CB64" s="111" t="s">
        <v>11</v>
      </c>
      <c r="CC64" s="111" t="s">
        <v>91</v>
      </c>
      <c r="CD64" s="200"/>
      <c r="CO64" s="83" t="s">
        <v>146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>
      <c r="Z65" s="84"/>
      <c r="AA65" s="85" t="s">
        <v>1</v>
      </c>
      <c r="AB65" s="7"/>
      <c r="AC65" s="7"/>
      <c r="AD65" s="7"/>
      <c r="AE65" s="7"/>
      <c r="AF65" s="7"/>
      <c r="AG65" s="7"/>
      <c r="AH65" s="7"/>
      <c r="AI65" s="8"/>
      <c r="AJ65" s="86" t="s">
        <v>2</v>
      </c>
      <c r="AK65" s="7"/>
      <c r="AL65" s="7"/>
      <c r="AM65" s="7"/>
      <c r="AN65" s="7"/>
      <c r="AO65" s="7"/>
      <c r="AP65" s="7"/>
      <c r="AQ65" s="7"/>
      <c r="AR65" s="7"/>
      <c r="AS65" s="8"/>
      <c r="BT65" s="104" t="s">
        <v>67</v>
      </c>
      <c r="BU65" s="108"/>
      <c r="BV65" s="108"/>
      <c r="BW65" s="108"/>
      <c r="BX65" s="108"/>
      <c r="BY65" s="108"/>
      <c r="BZ65" s="108"/>
      <c r="CA65" s="108"/>
      <c r="CB65" s="108"/>
      <c r="CC65" s="108"/>
      <c r="CD65" s="114">
        <f t="shared" ref="CD65:CD69" si="35">SUM(BU65:CC65)</f>
        <v>0</v>
      </c>
      <c r="CO65" s="359" t="s">
        <v>84</v>
      </c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60"/>
    </row>
    <row r="66">
      <c r="Z66" s="84" t="s">
        <v>51</v>
      </c>
      <c r="AA66" s="92">
        <v>28.0</v>
      </c>
      <c r="AB66" s="92">
        <v>30.0</v>
      </c>
      <c r="AC66" s="92">
        <v>32.0</v>
      </c>
      <c r="AD66" s="92">
        <v>34.0</v>
      </c>
      <c r="AE66" s="92">
        <v>36.0</v>
      </c>
      <c r="AF66" s="92">
        <v>38.0</v>
      </c>
      <c r="AG66" s="92">
        <v>40.0</v>
      </c>
      <c r="AH66" s="92"/>
      <c r="AI66" s="93"/>
      <c r="AJ66" s="94">
        <v>28.0</v>
      </c>
      <c r="AK66" s="95">
        <v>30.0</v>
      </c>
      <c r="AL66" s="95">
        <v>32.0</v>
      </c>
      <c r="AM66" s="95">
        <v>34.0</v>
      </c>
      <c r="AN66" s="95">
        <v>36.0</v>
      </c>
      <c r="AO66" s="95">
        <v>38.0</v>
      </c>
      <c r="AP66" s="95">
        <v>40.0</v>
      </c>
      <c r="AQ66" s="95"/>
      <c r="AR66" s="95"/>
      <c r="AS66" s="96" t="s">
        <v>52</v>
      </c>
      <c r="BT66" s="104" t="s">
        <v>14</v>
      </c>
      <c r="BU66" s="121"/>
      <c r="BV66" s="108"/>
      <c r="BW66" s="121"/>
      <c r="BX66" s="108"/>
      <c r="BY66" s="108"/>
      <c r="BZ66" s="121"/>
      <c r="CA66" s="108"/>
      <c r="CB66" s="108"/>
      <c r="CC66" s="108"/>
      <c r="CD66" s="114">
        <f t="shared" si="35"/>
        <v>0</v>
      </c>
      <c r="CO66" s="359" t="s">
        <v>43</v>
      </c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60"/>
    </row>
    <row r="67">
      <c r="Z67" s="84"/>
      <c r="AA67" s="101" t="s">
        <v>4</v>
      </c>
      <c r="AB67" s="101" t="s">
        <v>53</v>
      </c>
      <c r="AC67" s="101" t="s">
        <v>54</v>
      </c>
      <c r="AD67" s="101" t="s">
        <v>55</v>
      </c>
      <c r="AE67" s="101" t="s">
        <v>56</v>
      </c>
      <c r="AF67" s="101" t="s">
        <v>9</v>
      </c>
      <c r="AG67" s="101" t="s">
        <v>10</v>
      </c>
      <c r="AH67" s="101" t="s">
        <v>11</v>
      </c>
      <c r="AI67" s="102" t="s">
        <v>12</v>
      </c>
      <c r="AJ67" s="103" t="s">
        <v>4</v>
      </c>
      <c r="AK67" s="100" t="s">
        <v>53</v>
      </c>
      <c r="AL67" s="100" t="s">
        <v>54</v>
      </c>
      <c r="AM67" s="100" t="s">
        <v>55</v>
      </c>
      <c r="AN67" s="100" t="s">
        <v>56</v>
      </c>
      <c r="AO67" s="100" t="s">
        <v>9</v>
      </c>
      <c r="AP67" s="100" t="s">
        <v>10</v>
      </c>
      <c r="AQ67" s="100" t="s">
        <v>11</v>
      </c>
      <c r="AR67" s="100" t="s">
        <v>12</v>
      </c>
      <c r="AS67" s="99"/>
      <c r="BT67" s="104" t="s">
        <v>15</v>
      </c>
      <c r="BU67" s="108"/>
      <c r="BV67" s="108"/>
      <c r="BW67" s="108">
        <f>1</f>
        <v>1</v>
      </c>
      <c r="BX67" s="108"/>
      <c r="BY67" s="108"/>
      <c r="BZ67" s="108"/>
      <c r="CA67" s="108"/>
      <c r="CB67" s="108"/>
      <c r="CC67" s="108"/>
      <c r="CD67" s="114">
        <f t="shared" si="35"/>
        <v>1</v>
      </c>
      <c r="CO67" s="182" t="s">
        <v>87</v>
      </c>
      <c r="CP67" s="3"/>
      <c r="CQ67" s="3"/>
      <c r="CR67" s="3"/>
      <c r="CS67" s="3"/>
      <c r="CT67" s="3"/>
      <c r="CU67" s="3"/>
      <c r="CV67" s="4"/>
      <c r="CW67" s="114">
        <v>28.0</v>
      </c>
      <c r="CX67" s="114">
        <v>30.0</v>
      </c>
      <c r="CY67" s="114">
        <v>32.0</v>
      </c>
      <c r="CZ67" s="114">
        <v>34.0</v>
      </c>
      <c r="DA67" s="114">
        <v>36.0</v>
      </c>
      <c r="DB67" s="114">
        <v>38.0</v>
      </c>
      <c r="DC67" s="114">
        <v>40.0</v>
      </c>
      <c r="DD67" s="114">
        <v>42.0</v>
      </c>
      <c r="DE67" s="98" t="s">
        <v>76</v>
      </c>
      <c r="DF67" s="7"/>
      <c r="DG67" s="8"/>
    </row>
    <row r="68">
      <c r="Z68" s="84" t="s">
        <v>15</v>
      </c>
      <c r="AA68" s="108"/>
      <c r="AB68" s="108"/>
      <c r="AC68" s="121"/>
      <c r="AD68" s="108"/>
      <c r="AE68" s="108"/>
      <c r="AF68" s="108"/>
      <c r="AG68" s="108"/>
      <c r="AH68" s="108"/>
      <c r="AI68" s="108"/>
      <c r="AJ68" s="108"/>
      <c r="AK68" s="108"/>
      <c r="AL68" s="108"/>
      <c r="AM68" s="121">
        <f>1</f>
        <v>1</v>
      </c>
      <c r="AN68" s="108"/>
      <c r="AO68" s="108"/>
      <c r="AP68" s="108"/>
      <c r="AQ68" s="108"/>
      <c r="AR68" s="108"/>
      <c r="AS68" s="114">
        <f t="shared" ref="AS68:AS69" si="37">SUM(AA68:AR68)</f>
        <v>1</v>
      </c>
      <c r="BT68" s="104" t="s">
        <v>44</v>
      </c>
      <c r="BU68" s="108"/>
      <c r="BV68" s="108"/>
      <c r="BW68" s="108"/>
      <c r="BX68" s="108"/>
      <c r="BY68" s="121"/>
      <c r="BZ68" s="108"/>
      <c r="CA68" s="121"/>
      <c r="CB68" s="108"/>
      <c r="CC68" s="108"/>
      <c r="CD68" s="114">
        <f t="shared" si="35"/>
        <v>0</v>
      </c>
      <c r="CO68" s="171"/>
      <c r="CP68" s="128"/>
      <c r="CQ68" s="128"/>
      <c r="CR68" s="128"/>
      <c r="CS68" s="128"/>
      <c r="CT68" s="128"/>
      <c r="CU68" s="128"/>
      <c r="CV68" s="162"/>
      <c r="CW68" s="111" t="s">
        <v>4</v>
      </c>
      <c r="CX68" s="111" t="s">
        <v>53</v>
      </c>
      <c r="CY68" s="111" t="s">
        <v>54</v>
      </c>
      <c r="CZ68" s="111" t="s">
        <v>55</v>
      </c>
      <c r="DA68" s="111" t="s">
        <v>56</v>
      </c>
      <c r="DB68" s="111" t="s">
        <v>9</v>
      </c>
      <c r="DC68" s="111" t="s">
        <v>10</v>
      </c>
      <c r="DD68" s="111" t="s">
        <v>11</v>
      </c>
      <c r="DE68" s="91"/>
      <c r="DF68" s="7"/>
      <c r="DG68" s="8"/>
    </row>
    <row r="69">
      <c r="Z69" s="84" t="s">
        <v>101</v>
      </c>
      <c r="AA69" s="108"/>
      <c r="AB69" s="108"/>
      <c r="AC69" s="121"/>
      <c r="AD69" s="121"/>
      <c r="AE69" s="108"/>
      <c r="AF69" s="121"/>
      <c r="AG69" s="121"/>
      <c r="AH69" s="108"/>
      <c r="AI69" s="108"/>
      <c r="AJ69" s="138">
        <f t="shared" ref="AJ69:AK69" si="36">1</f>
        <v>1</v>
      </c>
      <c r="AK69" s="121">
        <f t="shared" si="36"/>
        <v>1</v>
      </c>
      <c r="AL69" s="121"/>
      <c r="AM69" s="121"/>
      <c r="AN69" s="121"/>
      <c r="AO69" s="121"/>
      <c r="AP69" s="121"/>
      <c r="AQ69" s="121"/>
      <c r="AR69" s="121"/>
      <c r="AS69" s="114">
        <f t="shared" si="37"/>
        <v>2</v>
      </c>
      <c r="BT69" s="104" t="s">
        <v>102</v>
      </c>
      <c r="BU69" s="121"/>
      <c r="BV69" s="121"/>
      <c r="BW69" s="121"/>
      <c r="BX69" s="201"/>
      <c r="BY69" s="121">
        <f>1</f>
        <v>1</v>
      </c>
      <c r="BZ69" s="201"/>
      <c r="CA69" s="108"/>
      <c r="CB69" s="108"/>
      <c r="CC69" s="108"/>
      <c r="CD69" s="114">
        <f t="shared" si="35"/>
        <v>1</v>
      </c>
      <c r="CO69" s="174" t="s">
        <v>147</v>
      </c>
      <c r="CP69" s="7"/>
      <c r="CQ69" s="7"/>
      <c r="CR69" s="7"/>
      <c r="CS69" s="7"/>
      <c r="CT69" s="7"/>
      <c r="CU69" s="7"/>
      <c r="CV69" s="8"/>
      <c r="CW69" s="48"/>
      <c r="CX69" s="48"/>
      <c r="CY69" s="48"/>
      <c r="CZ69" s="48"/>
      <c r="DA69" s="48"/>
      <c r="DB69" s="48"/>
      <c r="DC69" s="48"/>
      <c r="DD69" s="48"/>
      <c r="DE69" s="98">
        <f t="shared" ref="DE69:DE75" si="38">SUM(CW69:DD69)</f>
        <v>0</v>
      </c>
      <c r="DF69" s="7"/>
      <c r="DG69" s="8"/>
    </row>
    <row r="70">
      <c r="Z70" s="119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>
        <f>SUM(AS68:AS69)</f>
        <v>3</v>
      </c>
      <c r="BT70" s="119"/>
      <c r="BU70" s="120"/>
      <c r="BV70" s="120"/>
      <c r="BW70" s="120"/>
      <c r="BX70" s="120"/>
      <c r="BY70" s="120"/>
      <c r="BZ70" s="120"/>
      <c r="CA70" s="120"/>
      <c r="CB70" s="120"/>
      <c r="CC70" s="120"/>
      <c r="CD70" s="202">
        <f>SUM(CD65:CD69)</f>
        <v>2</v>
      </c>
      <c r="CO70" s="174" t="s">
        <v>148</v>
      </c>
      <c r="CP70" s="7"/>
      <c r="CQ70" s="7"/>
      <c r="CR70" s="7"/>
      <c r="CS70" s="7"/>
      <c r="CT70" s="7"/>
      <c r="CU70" s="7"/>
      <c r="CV70" s="8"/>
      <c r="CW70" s="48"/>
      <c r="CX70" s="48"/>
      <c r="CY70" s="48"/>
      <c r="CZ70" s="48"/>
      <c r="DA70" s="48"/>
      <c r="DB70" s="48">
        <f>1</f>
        <v>1</v>
      </c>
      <c r="DC70" s="48"/>
      <c r="DD70" s="48"/>
      <c r="DE70" s="98">
        <f t="shared" si="38"/>
        <v>1</v>
      </c>
      <c r="DF70" s="7"/>
      <c r="DG70" s="8"/>
    </row>
    <row r="71">
      <c r="CO71" s="174" t="s">
        <v>149</v>
      </c>
      <c r="CP71" s="7"/>
      <c r="CQ71" s="7"/>
      <c r="CR71" s="7"/>
      <c r="CS71" s="7"/>
      <c r="CT71" s="7"/>
      <c r="CU71" s="7"/>
      <c r="CV71" s="8"/>
      <c r="CW71" s="48"/>
      <c r="CX71" s="48"/>
      <c r="CY71" s="48">
        <f>1</f>
        <v>1</v>
      </c>
      <c r="CZ71" s="48"/>
      <c r="DA71" s="48"/>
      <c r="DB71" s="48"/>
      <c r="DC71" s="48"/>
      <c r="DD71" s="48"/>
      <c r="DE71" s="98">
        <f t="shared" si="38"/>
        <v>1</v>
      </c>
      <c r="DF71" s="7"/>
      <c r="DG71" s="8"/>
    </row>
    <row r="72">
      <c r="Z72" s="358" t="s">
        <v>103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356"/>
      <c r="CO72" s="174" t="s">
        <v>150</v>
      </c>
      <c r="CP72" s="7"/>
      <c r="CQ72" s="7"/>
      <c r="CR72" s="7"/>
      <c r="CS72" s="7"/>
      <c r="CT72" s="7"/>
      <c r="CU72" s="7"/>
      <c r="CV72" s="8"/>
      <c r="CW72" s="48"/>
      <c r="CX72" s="48"/>
      <c r="CY72" s="48"/>
      <c r="CZ72" s="48">
        <f>1</f>
        <v>1</v>
      </c>
      <c r="DA72" s="48"/>
      <c r="DB72" s="48"/>
      <c r="DC72" s="48"/>
      <c r="DD72" s="48"/>
      <c r="DE72" s="98">
        <f t="shared" si="38"/>
        <v>1</v>
      </c>
      <c r="DF72" s="7"/>
      <c r="DG72" s="8"/>
    </row>
    <row r="73">
      <c r="Z73" s="84"/>
      <c r="AA73" s="85" t="s">
        <v>1</v>
      </c>
      <c r="AB73" s="7"/>
      <c r="AC73" s="7"/>
      <c r="AD73" s="7"/>
      <c r="AE73" s="7"/>
      <c r="AF73" s="7"/>
      <c r="AG73" s="7"/>
      <c r="AH73" s="7"/>
      <c r="AI73" s="8"/>
      <c r="AJ73" s="86" t="s">
        <v>2</v>
      </c>
      <c r="AK73" s="7"/>
      <c r="AL73" s="7"/>
      <c r="AM73" s="7"/>
      <c r="AN73" s="7"/>
      <c r="AO73" s="7"/>
      <c r="AP73" s="7"/>
      <c r="AQ73" s="7"/>
      <c r="AR73" s="7"/>
      <c r="AS73" s="8"/>
      <c r="BT73" s="360" t="s">
        <v>163</v>
      </c>
      <c r="BU73" s="7"/>
      <c r="BV73" s="7"/>
      <c r="BW73" s="7"/>
      <c r="BX73" s="7"/>
      <c r="BY73" s="7"/>
      <c r="BZ73" s="7"/>
      <c r="CA73" s="7"/>
      <c r="CB73" s="7"/>
      <c r="CC73" s="7"/>
      <c r="CD73" s="8"/>
      <c r="CO73" s="174" t="s">
        <v>151</v>
      </c>
      <c r="CP73" s="7"/>
      <c r="CQ73" s="7"/>
      <c r="CR73" s="7"/>
      <c r="CS73" s="7"/>
      <c r="CT73" s="7"/>
      <c r="CU73" s="7"/>
      <c r="CV73" s="8"/>
      <c r="CW73" s="48"/>
      <c r="CX73" s="48"/>
      <c r="CY73" s="48"/>
      <c r="CZ73" s="48"/>
      <c r="DA73" s="48"/>
      <c r="DB73" s="48"/>
      <c r="DC73" s="48"/>
      <c r="DD73" s="48"/>
      <c r="DE73" s="98">
        <f t="shared" si="38"/>
        <v>0</v>
      </c>
      <c r="DF73" s="7"/>
      <c r="DG73" s="8"/>
    </row>
    <row r="74">
      <c r="Z74" s="84" t="s">
        <v>51</v>
      </c>
      <c r="AA74" s="92">
        <v>28.0</v>
      </c>
      <c r="AB74" s="92">
        <v>30.0</v>
      </c>
      <c r="AC74" s="92">
        <v>32.0</v>
      </c>
      <c r="AD74" s="92">
        <v>34.0</v>
      </c>
      <c r="AE74" s="92">
        <v>36.0</v>
      </c>
      <c r="AF74" s="92">
        <v>38.0</v>
      </c>
      <c r="AG74" s="92">
        <v>40.0</v>
      </c>
      <c r="AH74" s="92"/>
      <c r="AI74" s="93"/>
      <c r="AJ74" s="94">
        <v>28.0</v>
      </c>
      <c r="AK74" s="95">
        <v>30.0</v>
      </c>
      <c r="AL74" s="95">
        <v>32.0</v>
      </c>
      <c r="AM74" s="95">
        <v>34.0</v>
      </c>
      <c r="AN74" s="95">
        <v>36.0</v>
      </c>
      <c r="AO74" s="95">
        <v>38.0</v>
      </c>
      <c r="AP74" s="95">
        <v>40.0</v>
      </c>
      <c r="AQ74" s="95"/>
      <c r="AR74" s="95"/>
      <c r="AS74" s="96" t="s">
        <v>52</v>
      </c>
      <c r="BT74" s="230" t="s">
        <v>87</v>
      </c>
      <c r="BU74" s="231" t="s">
        <v>4</v>
      </c>
      <c r="BV74" s="231" t="s">
        <v>53</v>
      </c>
      <c r="BW74" s="231" t="s">
        <v>54</v>
      </c>
      <c r="BX74" s="231" t="s">
        <v>55</v>
      </c>
      <c r="BY74" s="231" t="s">
        <v>56</v>
      </c>
      <c r="BZ74" s="231" t="s">
        <v>9</v>
      </c>
      <c r="CA74" s="231" t="s">
        <v>10</v>
      </c>
      <c r="CB74" s="231" t="s">
        <v>11</v>
      </c>
      <c r="CC74" s="231" t="s">
        <v>12</v>
      </c>
      <c r="CD74" s="361" t="s">
        <v>52</v>
      </c>
      <c r="CO74" s="174" t="s">
        <v>152</v>
      </c>
      <c r="CP74" s="7"/>
      <c r="CQ74" s="7"/>
      <c r="CR74" s="7"/>
      <c r="CS74" s="7"/>
      <c r="CT74" s="7"/>
      <c r="CU74" s="7"/>
      <c r="CV74" s="8"/>
      <c r="CW74" s="48"/>
      <c r="CX74" s="48">
        <f>1</f>
        <v>1</v>
      </c>
      <c r="CY74" s="48"/>
      <c r="CZ74" s="48"/>
      <c r="DA74" s="48"/>
      <c r="DB74" s="48"/>
      <c r="DC74" s="48"/>
      <c r="DD74" s="48"/>
      <c r="DE74" s="98">
        <f t="shared" si="38"/>
        <v>1</v>
      </c>
      <c r="DF74" s="7"/>
      <c r="DG74" s="8"/>
    </row>
    <row r="75">
      <c r="Z75" s="84"/>
      <c r="AA75" s="101" t="s">
        <v>4</v>
      </c>
      <c r="AB75" s="101" t="s">
        <v>53</v>
      </c>
      <c r="AC75" s="101" t="s">
        <v>54</v>
      </c>
      <c r="AD75" s="101" t="s">
        <v>55</v>
      </c>
      <c r="AE75" s="101" t="s">
        <v>56</v>
      </c>
      <c r="AF75" s="101" t="s">
        <v>9</v>
      </c>
      <c r="AG75" s="101" t="s">
        <v>10</v>
      </c>
      <c r="AH75" s="101" t="s">
        <v>11</v>
      </c>
      <c r="AI75" s="102" t="s">
        <v>12</v>
      </c>
      <c r="AJ75" s="103" t="s">
        <v>4</v>
      </c>
      <c r="AK75" s="100" t="s">
        <v>53</v>
      </c>
      <c r="AL75" s="100" t="s">
        <v>54</v>
      </c>
      <c r="AM75" s="100" t="s">
        <v>55</v>
      </c>
      <c r="AN75" s="100" t="s">
        <v>56</v>
      </c>
      <c r="AO75" s="100" t="s">
        <v>9</v>
      </c>
      <c r="AP75" s="100" t="s">
        <v>10</v>
      </c>
      <c r="AQ75" s="100" t="s">
        <v>11</v>
      </c>
      <c r="AR75" s="100" t="s">
        <v>12</v>
      </c>
      <c r="AS75" s="99"/>
      <c r="BT75" s="230" t="s">
        <v>68</v>
      </c>
      <c r="BU75" s="233"/>
      <c r="BV75" s="233"/>
      <c r="BW75" s="233">
        <f>2</f>
        <v>2</v>
      </c>
      <c r="BX75" s="234"/>
      <c r="BY75" s="233"/>
      <c r="BZ75" s="233"/>
      <c r="CA75" s="233"/>
      <c r="CB75" s="233"/>
      <c r="CC75" s="233"/>
      <c r="CD75" s="235">
        <f>SUM(BU75:CC75)</f>
        <v>2</v>
      </c>
      <c r="CO75" s="174" t="s">
        <v>153</v>
      </c>
      <c r="CP75" s="7"/>
      <c r="CQ75" s="7"/>
      <c r="CR75" s="7"/>
      <c r="CS75" s="7"/>
      <c r="CT75" s="7"/>
      <c r="CU75" s="7"/>
      <c r="CV75" s="8"/>
      <c r="CW75" s="48"/>
      <c r="CX75" s="48"/>
      <c r="CY75" s="48">
        <f>1</f>
        <v>1</v>
      </c>
      <c r="CZ75" s="48"/>
      <c r="DA75" s="48"/>
      <c r="DB75" s="48"/>
      <c r="DC75" s="48"/>
      <c r="DD75" s="48"/>
      <c r="DE75" s="98">
        <f t="shared" si="38"/>
        <v>1</v>
      </c>
      <c r="DF75" s="7"/>
      <c r="DG75" s="8"/>
    </row>
    <row r="76">
      <c r="Z76" s="84" t="s">
        <v>16</v>
      </c>
      <c r="AA76" s="121"/>
      <c r="AB76" s="121"/>
      <c r="AC76" s="121"/>
      <c r="AD76" s="121"/>
      <c r="AE76" s="121"/>
      <c r="AF76" s="121"/>
      <c r="AG76" s="121"/>
      <c r="AH76" s="121"/>
      <c r="AI76" s="137"/>
      <c r="AJ76" s="138"/>
      <c r="AK76" s="121">
        <f>1</f>
        <v>1</v>
      </c>
      <c r="AL76" s="121"/>
      <c r="AM76" s="121"/>
      <c r="AN76" s="121"/>
      <c r="AO76" s="121"/>
      <c r="AP76" s="121"/>
      <c r="AQ76" s="121"/>
      <c r="AR76" s="121"/>
      <c r="AS76" s="114">
        <f t="shared" ref="AS76:AS78" si="39">SUM(AA76:AR76)</f>
        <v>1</v>
      </c>
      <c r="CO76" s="11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81">
        <f>SUM(DE69:DG75)</f>
        <v>5</v>
      </c>
      <c r="DF76" s="7"/>
      <c r="DG76" s="8"/>
    </row>
    <row r="77">
      <c r="Z77" s="84" t="s">
        <v>105</v>
      </c>
      <c r="AA77" s="121"/>
      <c r="AB77" s="121"/>
      <c r="AC77" s="121"/>
      <c r="AD77" s="121"/>
      <c r="AE77" s="121"/>
      <c r="AF77" s="121"/>
      <c r="AG77" s="108"/>
      <c r="AH77" s="121"/>
      <c r="AI77" s="137"/>
      <c r="AJ77" s="138"/>
      <c r="AK77" s="121"/>
      <c r="AL77" s="121"/>
      <c r="AM77" s="121">
        <f>1</f>
        <v>1</v>
      </c>
      <c r="AN77" s="121"/>
      <c r="AO77" s="121"/>
      <c r="AP77" s="121"/>
      <c r="AQ77" s="121"/>
      <c r="AR77" s="121"/>
      <c r="AS77" s="114">
        <f t="shared" si="39"/>
        <v>1</v>
      </c>
      <c r="CO77" s="227"/>
      <c r="CP77" s="290"/>
      <c r="CQ77" s="290"/>
      <c r="CR77" s="290"/>
      <c r="CS77" s="290"/>
      <c r="CT77" s="290"/>
      <c r="CU77" s="290"/>
      <c r="CV77" s="290"/>
      <c r="CW77" s="290"/>
      <c r="CX77" s="290"/>
      <c r="CY77" s="290"/>
      <c r="CZ77" s="290"/>
      <c r="DA77" s="290"/>
      <c r="DB77" s="290"/>
    </row>
    <row r="78">
      <c r="Z78" s="204" t="s">
        <v>14</v>
      </c>
      <c r="AA78" s="121"/>
      <c r="AB78" s="121"/>
      <c r="AC78" s="121"/>
      <c r="AD78" s="121"/>
      <c r="AE78" s="121">
        <f>1</f>
        <v>1</v>
      </c>
      <c r="AF78" s="121"/>
      <c r="AG78" s="121"/>
      <c r="AH78" s="121"/>
      <c r="AI78" s="137"/>
      <c r="AJ78" s="138">
        <f>1</f>
        <v>1</v>
      </c>
      <c r="AK78" s="121"/>
      <c r="AL78" s="108"/>
      <c r="AM78" s="108"/>
      <c r="AN78" s="108"/>
      <c r="AO78" s="108"/>
      <c r="AP78" s="121"/>
      <c r="AQ78" s="108"/>
      <c r="AR78" s="121"/>
      <c r="AS78" s="114">
        <f t="shared" si="39"/>
        <v>2</v>
      </c>
      <c r="CO78" s="227"/>
      <c r="CP78" s="290"/>
      <c r="CQ78" s="290"/>
      <c r="CR78" s="290"/>
      <c r="CS78" s="290"/>
      <c r="CT78" s="290"/>
      <c r="CU78" s="290"/>
      <c r="CV78" s="290"/>
      <c r="CW78" s="290"/>
      <c r="CX78" s="290"/>
      <c r="CY78" s="290"/>
      <c r="CZ78" s="290"/>
      <c r="DA78" s="290"/>
      <c r="DB78" s="290"/>
    </row>
    <row r="79">
      <c r="Z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1">
        <f>SUM(AS76:AS78)</f>
        <v>4</v>
      </c>
      <c r="CN79" s="323" t="s">
        <v>154</v>
      </c>
      <c r="CO79" s="37"/>
      <c r="CP79" s="37"/>
      <c r="CQ79" s="37"/>
      <c r="CR79" s="37"/>
      <c r="CS79" s="37"/>
      <c r="CT79" s="37"/>
      <c r="CU79" s="37"/>
      <c r="CV79" s="37"/>
      <c r="CW79" s="38"/>
      <c r="CX79" s="324"/>
      <c r="CY79" s="290"/>
      <c r="CZ79" s="290"/>
      <c r="DA79" s="290"/>
      <c r="DB79" s="290"/>
    </row>
    <row r="80">
      <c r="CN80" s="237"/>
      <c r="CO80" s="325" t="s">
        <v>43</v>
      </c>
      <c r="CP80" s="326"/>
      <c r="CQ80" s="326"/>
      <c r="CR80" s="326"/>
      <c r="CS80" s="326"/>
      <c r="CT80" s="326"/>
      <c r="CU80" s="326"/>
      <c r="CV80" s="326"/>
      <c r="CW80" s="327"/>
      <c r="CX80" s="328"/>
      <c r="CY80" s="290"/>
      <c r="CZ80" s="290"/>
      <c r="DA80" s="290"/>
      <c r="DB80" s="290"/>
    </row>
    <row r="81">
      <c r="Z81" s="205" t="s">
        <v>106</v>
      </c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7"/>
      <c r="CN81" s="329" t="s">
        <v>3</v>
      </c>
      <c r="CO81" s="330" t="s">
        <v>4</v>
      </c>
      <c r="CP81" s="331" t="s">
        <v>5</v>
      </c>
      <c r="CQ81" s="331" t="s">
        <v>6</v>
      </c>
      <c r="CR81" s="331" t="s">
        <v>7</v>
      </c>
      <c r="CS81" s="331" t="s">
        <v>8</v>
      </c>
      <c r="CT81" s="331" t="s">
        <v>9</v>
      </c>
      <c r="CU81" s="331" t="s">
        <v>10</v>
      </c>
      <c r="CV81" s="331" t="s">
        <v>11</v>
      </c>
      <c r="CW81" s="331" t="s">
        <v>12</v>
      </c>
      <c r="CX81" s="278" t="s">
        <v>76</v>
      </c>
      <c r="CY81" s="290"/>
      <c r="CZ81" s="290"/>
      <c r="DA81" s="290"/>
      <c r="DB81" s="290"/>
    </row>
    <row r="82">
      <c r="Z82" s="208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7"/>
      <c r="CN82" s="253" t="s">
        <v>20</v>
      </c>
      <c r="CO82" s="48">
        <f t="shared" ref="CO82:CO84" si="40">1</f>
        <v>1</v>
      </c>
      <c r="CP82" s="48"/>
      <c r="CQ82" s="48"/>
      <c r="CR82" s="48"/>
      <c r="CS82" s="48"/>
      <c r="CT82" s="48"/>
      <c r="CU82" s="48"/>
      <c r="CV82" s="48"/>
      <c r="CW82" s="48"/>
      <c r="CX82" s="332">
        <f t="shared" ref="CX82:CX84" si="41">SUM(CO82:CW82)</f>
        <v>1</v>
      </c>
      <c r="CY82" s="290"/>
      <c r="CZ82" s="290"/>
      <c r="DA82" s="290"/>
      <c r="DB82" s="290"/>
    </row>
    <row r="83"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CN83" s="253" t="s">
        <v>133</v>
      </c>
      <c r="CO83" s="48">
        <f t="shared" si="40"/>
        <v>1</v>
      </c>
      <c r="CP83" s="48"/>
      <c r="CQ83" s="48"/>
      <c r="CR83" s="48"/>
      <c r="CS83" s="48"/>
      <c r="CT83" s="48"/>
      <c r="CU83" s="48"/>
      <c r="CV83" s="48"/>
      <c r="CW83" s="48"/>
      <c r="CX83" s="332">
        <f t="shared" si="41"/>
        <v>1</v>
      </c>
      <c r="CY83" s="290"/>
      <c r="CZ83" s="290"/>
      <c r="DA83" s="290"/>
      <c r="DB83" s="290"/>
    </row>
    <row r="84"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31"/>
      <c r="CN84" s="253" t="s">
        <v>13</v>
      </c>
      <c r="CO84" s="48">
        <f t="shared" si="40"/>
        <v>1</v>
      </c>
      <c r="CP84" s="48"/>
      <c r="CQ84" s="48"/>
      <c r="CR84" s="48"/>
      <c r="CS84" s="48"/>
      <c r="CT84" s="48"/>
      <c r="CU84" s="48"/>
      <c r="CV84" s="48"/>
      <c r="CW84" s="48"/>
      <c r="CX84" s="332">
        <f t="shared" si="41"/>
        <v>1</v>
      </c>
      <c r="CY84" s="290"/>
      <c r="CZ84" s="290"/>
      <c r="DA84" s="290"/>
      <c r="DB84" s="290"/>
    </row>
    <row r="85">
      <c r="Z85" s="209"/>
      <c r="AA85" s="210"/>
      <c r="AB85" s="210"/>
      <c r="AC85" s="210"/>
      <c r="AD85" s="91" t="s">
        <v>107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8"/>
      <c r="AR85" s="120"/>
      <c r="AS85" s="131"/>
      <c r="CN85" s="237"/>
      <c r="CO85" s="328"/>
      <c r="CP85" s="328"/>
      <c r="CQ85" s="328"/>
      <c r="CR85" s="328"/>
      <c r="CS85" s="328"/>
      <c r="CT85" s="328"/>
      <c r="CU85" s="328"/>
      <c r="CV85" s="328"/>
      <c r="CW85" s="328"/>
      <c r="CX85" s="333">
        <f>SUM(CX82:CX84)</f>
        <v>3</v>
      </c>
      <c r="CY85" s="290"/>
      <c r="CZ85" s="290"/>
      <c r="DA85" s="290"/>
      <c r="DB85" s="290"/>
    </row>
    <row r="86">
      <c r="Z86" s="139"/>
      <c r="AA86" s="120"/>
      <c r="AB86" s="120"/>
      <c r="AC86" s="120"/>
      <c r="AD86" s="211" t="s">
        <v>51</v>
      </c>
      <c r="AE86" s="3"/>
      <c r="AF86" s="4"/>
      <c r="AG86" s="111"/>
      <c r="AH86" s="111"/>
      <c r="AI86" s="111"/>
      <c r="AJ86" s="111"/>
      <c r="AK86" s="111"/>
      <c r="AL86" s="111"/>
      <c r="AM86" s="111"/>
      <c r="AN86" s="111"/>
      <c r="AO86" s="111"/>
      <c r="AP86" s="211" t="s">
        <v>85</v>
      </c>
      <c r="AQ86" s="4"/>
      <c r="AR86" s="131"/>
      <c r="AS86" s="120"/>
      <c r="CO86" s="227"/>
      <c r="CP86" s="290"/>
      <c r="CQ86" s="290"/>
      <c r="CR86" s="290"/>
      <c r="CS86" s="290"/>
      <c r="CT86" s="290"/>
      <c r="CU86" s="290"/>
      <c r="CV86" s="290"/>
      <c r="CW86" s="290"/>
      <c r="CX86" s="290"/>
      <c r="CY86" s="290"/>
      <c r="CZ86" s="290"/>
      <c r="DA86" s="290"/>
      <c r="DB86" s="290"/>
    </row>
    <row r="87">
      <c r="Z87" s="212"/>
      <c r="AA87" s="120"/>
      <c r="AB87" s="120"/>
      <c r="AC87" s="120"/>
      <c r="AD87" s="171"/>
      <c r="AE87" s="128"/>
      <c r="AF87" s="162"/>
      <c r="AG87" s="111" t="s">
        <v>4</v>
      </c>
      <c r="AH87" s="111" t="s">
        <v>53</v>
      </c>
      <c r="AI87" s="111" t="s">
        <v>54</v>
      </c>
      <c r="AJ87" s="111" t="s">
        <v>55</v>
      </c>
      <c r="AK87" s="111" t="s">
        <v>56</v>
      </c>
      <c r="AL87" s="111" t="s">
        <v>9</v>
      </c>
      <c r="AM87" s="111" t="s">
        <v>10</v>
      </c>
      <c r="AN87" s="111" t="s">
        <v>11</v>
      </c>
      <c r="AO87" s="111" t="s">
        <v>12</v>
      </c>
      <c r="AP87" s="171"/>
      <c r="AQ87" s="162"/>
      <c r="AR87" s="131"/>
      <c r="AS87" s="131"/>
      <c r="CN87" s="323" t="s">
        <v>155</v>
      </c>
      <c r="CO87" s="37"/>
      <c r="CP87" s="37"/>
      <c r="CQ87" s="37"/>
      <c r="CR87" s="37"/>
      <c r="CS87" s="37"/>
      <c r="CT87" s="37"/>
      <c r="CU87" s="37"/>
      <c r="CV87" s="37"/>
      <c r="CW87" s="37"/>
      <c r="CX87" s="38"/>
      <c r="CY87" s="334"/>
      <c r="CZ87" s="290"/>
      <c r="DA87" s="290"/>
      <c r="DB87" s="290"/>
    </row>
    <row r="88">
      <c r="Z88" s="119"/>
      <c r="AA88" s="120"/>
      <c r="AB88" s="120"/>
      <c r="AC88" s="120"/>
      <c r="AD88" s="98" t="s">
        <v>13</v>
      </c>
      <c r="AE88" s="7"/>
      <c r="AF88" s="8"/>
      <c r="AG88" s="108">
        <f>1</f>
        <v>1</v>
      </c>
      <c r="AH88" s="108"/>
      <c r="AI88" s="108"/>
      <c r="AJ88" s="108"/>
      <c r="AK88" s="108"/>
      <c r="AL88" s="108"/>
      <c r="AM88" s="108"/>
      <c r="AN88" s="108"/>
      <c r="AO88" s="108"/>
      <c r="AP88" s="181">
        <f t="shared" ref="AP88:AP90" si="42">SUM(AG88:AO88)</f>
        <v>1</v>
      </c>
      <c r="AQ88" s="8"/>
      <c r="AR88" s="123"/>
      <c r="AS88" s="123"/>
      <c r="CN88" s="237"/>
      <c r="CO88" s="335" t="s">
        <v>43</v>
      </c>
      <c r="CP88" s="37"/>
      <c r="CQ88" s="37"/>
      <c r="CR88" s="37"/>
      <c r="CS88" s="37"/>
      <c r="CT88" s="37"/>
      <c r="CU88" s="37"/>
      <c r="CV88" s="37"/>
      <c r="CW88" s="37"/>
      <c r="CX88" s="336"/>
      <c r="CY88" s="328"/>
      <c r="CZ88" s="290"/>
      <c r="DA88" s="290"/>
      <c r="DB88" s="290"/>
    </row>
    <row r="89">
      <c r="Z89" s="119"/>
      <c r="AA89" s="120"/>
      <c r="AB89" s="120"/>
      <c r="AC89" s="120"/>
      <c r="AD89" s="98" t="s">
        <v>40</v>
      </c>
      <c r="AE89" s="7"/>
      <c r="AF89" s="8"/>
      <c r="AG89" s="108"/>
      <c r="AH89" s="108">
        <f>1</f>
        <v>1</v>
      </c>
      <c r="AI89" s="108"/>
      <c r="AJ89" s="108"/>
      <c r="AK89" s="108"/>
      <c r="AL89" s="108"/>
      <c r="AM89" s="108"/>
      <c r="AN89" s="108"/>
      <c r="AO89" s="108"/>
      <c r="AP89" s="181">
        <f t="shared" si="42"/>
        <v>1</v>
      </c>
      <c r="AQ89" s="8"/>
      <c r="AR89" s="123"/>
      <c r="AS89" s="123"/>
      <c r="CN89" s="329" t="s">
        <v>3</v>
      </c>
      <c r="CO89" s="330" t="s">
        <v>156</v>
      </c>
      <c r="CP89" s="330" t="s">
        <v>4</v>
      </c>
      <c r="CQ89" s="331" t="s">
        <v>5</v>
      </c>
      <c r="CR89" s="331" t="s">
        <v>6</v>
      </c>
      <c r="CS89" s="331" t="s">
        <v>7</v>
      </c>
      <c r="CT89" s="331" t="s">
        <v>8</v>
      </c>
      <c r="CU89" s="331" t="s">
        <v>9</v>
      </c>
      <c r="CV89" s="331" t="s">
        <v>10</v>
      </c>
      <c r="CW89" s="331" t="s">
        <v>11</v>
      </c>
      <c r="CX89" s="331" t="s">
        <v>12</v>
      </c>
      <c r="CY89" s="278" t="s">
        <v>76</v>
      </c>
      <c r="CZ89" s="290"/>
      <c r="DA89" s="290"/>
      <c r="DB89" s="290"/>
    </row>
    <row r="90">
      <c r="Z90" s="119"/>
      <c r="AA90" s="120"/>
      <c r="AB90" s="120"/>
      <c r="AC90" s="120"/>
      <c r="AD90" s="98" t="s">
        <v>16</v>
      </c>
      <c r="AE90" s="7"/>
      <c r="AF90" s="8"/>
      <c r="AG90" s="108"/>
      <c r="AH90" s="108"/>
      <c r="AI90" s="108"/>
      <c r="AJ90" s="108"/>
      <c r="AK90" s="108">
        <f>1</f>
        <v>1</v>
      </c>
      <c r="AL90" s="108"/>
      <c r="AM90" s="108"/>
      <c r="AN90" s="108"/>
      <c r="AO90" s="108"/>
      <c r="AP90" s="181">
        <f t="shared" si="42"/>
        <v>1</v>
      </c>
      <c r="AQ90" s="8"/>
      <c r="AR90" s="123"/>
      <c r="AS90" s="123"/>
      <c r="CN90" s="337" t="s">
        <v>157</v>
      </c>
      <c r="CO90" s="338"/>
      <c r="CP90" s="338"/>
      <c r="CQ90" s="338">
        <f t="shared" ref="CQ90:CQ91" si="43">1</f>
        <v>1</v>
      </c>
      <c r="CR90" s="338"/>
      <c r="CS90" s="338"/>
      <c r="CT90" s="338"/>
      <c r="CU90" s="338"/>
      <c r="CV90" s="338"/>
      <c r="CW90" s="338"/>
      <c r="CX90" s="338"/>
      <c r="CY90" s="339">
        <f t="shared" ref="CY90:CY91" si="44">SUM(CO90:CX90)</f>
        <v>1</v>
      </c>
      <c r="CZ90" s="290"/>
      <c r="DA90" s="290"/>
      <c r="DB90" s="290"/>
    </row>
    <row r="91">
      <c r="Z91" s="119"/>
      <c r="AA91" s="120"/>
      <c r="AB91" s="120"/>
      <c r="AC91" s="120"/>
      <c r="AD91" s="120"/>
      <c r="AE91" s="120"/>
      <c r="AF91" s="120"/>
      <c r="AG91" s="120"/>
      <c r="AH91" s="120"/>
      <c r="AI91" s="131"/>
      <c r="AJ91" s="123"/>
      <c r="AK91" s="123"/>
      <c r="AL91" s="123"/>
      <c r="AM91" s="123"/>
      <c r="AN91" s="123"/>
      <c r="AO91" s="123"/>
      <c r="AP91" s="213">
        <f>SUM(AP88:AQ90)</f>
        <v>3</v>
      </c>
      <c r="AQ91" s="38"/>
      <c r="AR91" s="131"/>
      <c r="AS91" s="120"/>
      <c r="CN91" s="337" t="s">
        <v>158</v>
      </c>
      <c r="CO91" s="338"/>
      <c r="CP91" s="338"/>
      <c r="CQ91" s="338">
        <f t="shared" si="43"/>
        <v>1</v>
      </c>
      <c r="CR91" s="338"/>
      <c r="CS91" s="338"/>
      <c r="CT91" s="338"/>
      <c r="CU91" s="338"/>
      <c r="CV91" s="338"/>
      <c r="CW91" s="338"/>
      <c r="CX91" s="338"/>
      <c r="CY91" s="339">
        <f t="shared" si="44"/>
        <v>1</v>
      </c>
      <c r="CZ91" s="290"/>
      <c r="DA91" s="290"/>
      <c r="DB91" s="290"/>
    </row>
    <row r="92"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 t="s">
        <v>108</v>
      </c>
      <c r="CN92" s="237"/>
      <c r="CO92" s="328"/>
      <c r="CP92" s="328"/>
      <c r="CQ92" s="328"/>
      <c r="CR92" s="328"/>
      <c r="CS92" s="328"/>
      <c r="CT92" s="328"/>
      <c r="CU92" s="328"/>
      <c r="CV92" s="328"/>
      <c r="CW92" s="328"/>
      <c r="CX92" s="340"/>
      <c r="CY92" s="333">
        <f>SUM(CY90:CY91)</f>
        <v>2</v>
      </c>
      <c r="CZ92" s="290"/>
      <c r="DA92" s="290"/>
      <c r="DB92" s="290"/>
    </row>
    <row r="93">
      <c r="Z93" s="119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CO93" s="227"/>
      <c r="CP93" s="290"/>
      <c r="CQ93" s="290"/>
      <c r="CR93" s="290"/>
      <c r="CS93" s="290"/>
      <c r="CT93" s="290"/>
      <c r="CU93" s="290"/>
      <c r="CV93" s="290"/>
      <c r="CW93" s="290"/>
      <c r="CX93" s="290"/>
      <c r="CY93" s="290"/>
      <c r="CZ93" s="290"/>
      <c r="DA93" s="290"/>
      <c r="DB93" s="290"/>
    </row>
    <row r="94">
      <c r="Z94" s="214" t="s">
        <v>109</v>
      </c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8"/>
      <c r="AR94" s="210"/>
      <c r="AS94" s="120"/>
      <c r="CO94" s="227"/>
      <c r="CP94" s="290"/>
      <c r="CQ94" s="290"/>
      <c r="CR94" s="290"/>
      <c r="CS94" s="290"/>
      <c r="CT94" s="290"/>
      <c r="CU94" s="290"/>
      <c r="CV94" s="290"/>
      <c r="CW94" s="290"/>
      <c r="CX94" s="290"/>
      <c r="CY94" s="290"/>
      <c r="CZ94" s="290"/>
      <c r="DA94" s="290"/>
      <c r="DB94" s="290"/>
    </row>
    <row r="95">
      <c r="Z95" s="215" t="s">
        <v>51</v>
      </c>
      <c r="AA95" s="98" t="s">
        <v>84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8"/>
      <c r="AR95" s="120"/>
      <c r="AS95" s="131"/>
      <c r="CN95" s="323" t="s">
        <v>159</v>
      </c>
      <c r="CO95" s="37"/>
      <c r="CP95" s="37"/>
      <c r="CQ95" s="37"/>
      <c r="CR95" s="37"/>
      <c r="CS95" s="37"/>
      <c r="CT95" s="37"/>
      <c r="CU95" s="37"/>
      <c r="CV95" s="37"/>
      <c r="CW95" s="37"/>
      <c r="CX95" s="336"/>
      <c r="CY95" s="324"/>
      <c r="CZ95" s="290"/>
      <c r="DA95" s="290"/>
      <c r="DB95" s="290"/>
    </row>
    <row r="96">
      <c r="Z96" s="216"/>
      <c r="AA96" s="98" t="s">
        <v>110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8"/>
      <c r="AR96" s="120"/>
      <c r="AS96" s="131"/>
      <c r="CN96" s="237"/>
      <c r="CO96" s="335" t="s">
        <v>43</v>
      </c>
      <c r="CP96" s="37"/>
      <c r="CQ96" s="37"/>
      <c r="CR96" s="37"/>
      <c r="CS96" s="37"/>
      <c r="CT96" s="37"/>
      <c r="CU96" s="37"/>
      <c r="CV96" s="37"/>
      <c r="CW96" s="37"/>
      <c r="CX96" s="38"/>
      <c r="CY96" s="328"/>
      <c r="CZ96" s="290"/>
      <c r="DA96" s="290"/>
      <c r="DB96" s="290"/>
    </row>
    <row r="97">
      <c r="Z97" s="217"/>
      <c r="AA97" s="98" t="s">
        <v>111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8"/>
      <c r="AR97" s="120"/>
      <c r="AS97" s="131"/>
      <c r="CN97" s="329" t="s">
        <v>3</v>
      </c>
      <c r="CO97" s="330" t="s">
        <v>156</v>
      </c>
      <c r="CP97" s="330" t="s">
        <v>4</v>
      </c>
      <c r="CQ97" s="331" t="s">
        <v>5</v>
      </c>
      <c r="CR97" s="331" t="s">
        <v>6</v>
      </c>
      <c r="CS97" s="331" t="s">
        <v>7</v>
      </c>
      <c r="CT97" s="331" t="s">
        <v>8</v>
      </c>
      <c r="CU97" s="331" t="s">
        <v>9</v>
      </c>
      <c r="CV97" s="331" t="s">
        <v>10</v>
      </c>
      <c r="CW97" s="331" t="s">
        <v>11</v>
      </c>
      <c r="CX97" s="331" t="s">
        <v>12</v>
      </c>
      <c r="CY97" s="278" t="s">
        <v>76</v>
      </c>
      <c r="CZ97" s="290"/>
      <c r="DA97" s="290"/>
      <c r="DB97" s="290"/>
    </row>
    <row r="98">
      <c r="Z98" s="84" t="s">
        <v>14</v>
      </c>
      <c r="AA98" s="181">
        <f>1</f>
        <v>1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8"/>
      <c r="AQ98" s="114">
        <f t="shared" ref="AQ98:AQ100" si="45">SUM(AA98)</f>
        <v>1</v>
      </c>
      <c r="AR98" s="120"/>
      <c r="AS98" s="131"/>
      <c r="CN98" s="337" t="s">
        <v>157</v>
      </c>
      <c r="CO98" s="48"/>
      <c r="CP98" s="48"/>
      <c r="CQ98" s="48">
        <f t="shared" ref="CQ98:CQ99" si="46">1</f>
        <v>1</v>
      </c>
      <c r="CR98" s="48"/>
      <c r="CS98" s="48"/>
      <c r="CT98" s="48"/>
      <c r="CU98" s="48"/>
      <c r="CV98" s="48"/>
      <c r="CW98" s="48"/>
      <c r="CX98" s="48"/>
      <c r="CY98" s="332">
        <f t="shared" ref="CY98:CY99" si="47">SUM(CO98:CX98)</f>
        <v>1</v>
      </c>
      <c r="CZ98" s="290"/>
      <c r="DA98" s="290"/>
      <c r="DB98" s="290"/>
    </row>
    <row r="99">
      <c r="Z99" s="218" t="s">
        <v>13</v>
      </c>
      <c r="AA99" s="219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8"/>
      <c r="AQ99" s="114">
        <f t="shared" si="45"/>
        <v>0</v>
      </c>
      <c r="AR99" s="120"/>
      <c r="AS99" s="131"/>
      <c r="CN99" s="337" t="s">
        <v>158</v>
      </c>
      <c r="CO99" s="48"/>
      <c r="CP99" s="48"/>
      <c r="CQ99" s="48">
        <f t="shared" si="46"/>
        <v>1</v>
      </c>
      <c r="CR99" s="48"/>
      <c r="CS99" s="48"/>
      <c r="CT99" s="48"/>
      <c r="CU99" s="48"/>
      <c r="CV99" s="48"/>
      <c r="CW99" s="48"/>
      <c r="CX99" s="48"/>
      <c r="CY99" s="332">
        <f t="shared" si="47"/>
        <v>1</v>
      </c>
      <c r="CZ99" s="290"/>
      <c r="DA99" s="290"/>
      <c r="DB99" s="290"/>
    </row>
    <row r="100">
      <c r="Z100" s="84" t="s">
        <v>112</v>
      </c>
      <c r="AA100" s="219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8"/>
      <c r="AQ100" s="114">
        <f t="shared" si="45"/>
        <v>0</v>
      </c>
      <c r="AR100" s="120"/>
      <c r="AS100" s="131"/>
      <c r="CN100" s="341"/>
      <c r="CO100" s="342"/>
      <c r="CP100" s="342"/>
      <c r="CQ100" s="342"/>
      <c r="CR100" s="342"/>
      <c r="CS100" s="342"/>
      <c r="CT100" s="342"/>
      <c r="CU100" s="342"/>
      <c r="CV100" s="342"/>
      <c r="CW100" s="342"/>
      <c r="CX100" s="343"/>
      <c r="CY100" s="49">
        <f>SUM(CY98:CY99)</f>
        <v>2</v>
      </c>
      <c r="CZ100" s="290"/>
      <c r="DA100" s="290"/>
      <c r="DB100" s="290"/>
    </row>
    <row r="101">
      <c r="Z101" s="119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220">
        <f>SUM(AQ98:AQ100)</f>
        <v>1</v>
      </c>
      <c r="AQ101" s="38"/>
      <c r="AR101" s="120"/>
      <c r="AS101" s="131"/>
      <c r="CO101" s="227"/>
      <c r="CP101" s="290"/>
      <c r="CQ101" s="290"/>
      <c r="CR101" s="290"/>
      <c r="CS101" s="290"/>
      <c r="CT101" s="290"/>
      <c r="CU101" s="290"/>
      <c r="CV101" s="290"/>
      <c r="CW101" s="290"/>
      <c r="CX101" s="290"/>
      <c r="CY101" s="290"/>
      <c r="CZ101" s="290"/>
      <c r="DA101" s="290"/>
      <c r="DB101" s="290"/>
    </row>
    <row r="102"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31"/>
      <c r="CN102" s="323" t="s">
        <v>160</v>
      </c>
      <c r="CO102" s="37"/>
      <c r="CP102" s="37"/>
      <c r="CQ102" s="37"/>
      <c r="CR102" s="37"/>
      <c r="CS102" s="37"/>
      <c r="CT102" s="37"/>
      <c r="CU102" s="37"/>
      <c r="CV102" s="37"/>
      <c r="CW102" s="38"/>
      <c r="CX102" s="324"/>
      <c r="CY102" s="290"/>
      <c r="CZ102" s="290"/>
      <c r="DA102" s="290"/>
      <c r="DB102" s="290"/>
    </row>
    <row r="103"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CN103" s="237"/>
      <c r="CO103" s="325" t="s">
        <v>43</v>
      </c>
      <c r="CP103" s="326"/>
      <c r="CQ103" s="326"/>
      <c r="CR103" s="326"/>
      <c r="CS103" s="326"/>
      <c r="CT103" s="326"/>
      <c r="CU103" s="326"/>
      <c r="CV103" s="326"/>
      <c r="CW103" s="327"/>
      <c r="CX103" s="328"/>
      <c r="CY103" s="290"/>
      <c r="CZ103" s="290"/>
      <c r="DA103" s="290"/>
      <c r="DB103" s="290"/>
    </row>
    <row r="104">
      <c r="Z104" s="221" t="s">
        <v>113</v>
      </c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3"/>
      <c r="AS104" s="120"/>
      <c r="CN104" s="329" t="s">
        <v>3</v>
      </c>
      <c r="CO104" s="344" t="s">
        <v>4</v>
      </c>
      <c r="CP104" s="345" t="s">
        <v>5</v>
      </c>
      <c r="CQ104" s="345" t="s">
        <v>6</v>
      </c>
      <c r="CR104" s="345" t="s">
        <v>7</v>
      </c>
      <c r="CS104" s="345" t="s">
        <v>8</v>
      </c>
      <c r="CT104" s="345" t="s">
        <v>9</v>
      </c>
      <c r="CU104" s="345" t="s">
        <v>10</v>
      </c>
      <c r="CV104" s="345" t="s">
        <v>11</v>
      </c>
      <c r="CW104" s="345" t="s">
        <v>12</v>
      </c>
      <c r="CX104" s="278" t="s">
        <v>76</v>
      </c>
      <c r="CY104" s="290"/>
      <c r="CZ104" s="290"/>
      <c r="DA104" s="290"/>
      <c r="DB104" s="290"/>
    </row>
    <row r="105">
      <c r="Z105" s="84"/>
      <c r="AA105" s="98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185"/>
      <c r="AR105" s="192" t="s">
        <v>85</v>
      </c>
      <c r="AS105" s="120"/>
      <c r="CN105" s="253" t="s">
        <v>20</v>
      </c>
      <c r="CO105" s="346">
        <f>1</f>
        <v>1</v>
      </c>
      <c r="CP105" s="346"/>
      <c r="CQ105" s="346"/>
      <c r="CR105" s="346"/>
      <c r="CS105" s="346"/>
      <c r="CT105" s="346"/>
      <c r="CU105" s="346"/>
      <c r="CV105" s="346"/>
      <c r="CW105" s="346"/>
      <c r="CX105" s="332">
        <f t="shared" ref="CX105:CX106" si="48">SUM(CO105:CW105)</f>
        <v>1</v>
      </c>
      <c r="CY105" s="290"/>
      <c r="CZ105" s="290"/>
      <c r="DA105" s="290"/>
      <c r="DB105" s="290"/>
    </row>
    <row r="106">
      <c r="Z106" s="84"/>
      <c r="AA106" s="224" t="s">
        <v>114</v>
      </c>
      <c r="AB106" s="7"/>
      <c r="AC106" s="7"/>
      <c r="AD106" s="7"/>
      <c r="AE106" s="7"/>
      <c r="AF106" s="7"/>
      <c r="AG106" s="7"/>
      <c r="AH106" s="7"/>
      <c r="AI106" s="8"/>
      <c r="AJ106" s="224" t="s">
        <v>115</v>
      </c>
      <c r="AK106" s="7"/>
      <c r="AL106" s="7"/>
      <c r="AM106" s="7"/>
      <c r="AN106" s="7"/>
      <c r="AO106" s="7"/>
      <c r="AP106" s="7"/>
      <c r="AQ106" s="185"/>
      <c r="AR106" s="170"/>
      <c r="AS106" s="120"/>
      <c r="CN106" s="253" t="s">
        <v>133</v>
      </c>
      <c r="CO106" s="346"/>
      <c r="CP106" s="346"/>
      <c r="CQ106" s="346"/>
      <c r="CR106" s="346"/>
      <c r="CS106" s="346"/>
      <c r="CT106" s="346"/>
      <c r="CU106" s="346"/>
      <c r="CV106" s="346"/>
      <c r="CW106" s="346"/>
      <c r="CX106" s="332">
        <f t="shared" si="48"/>
        <v>0</v>
      </c>
      <c r="CY106" s="290"/>
      <c r="CZ106" s="290"/>
      <c r="DA106" s="290"/>
      <c r="DB106" s="290"/>
    </row>
    <row r="107">
      <c r="Z107" s="84" t="s">
        <v>51</v>
      </c>
      <c r="AA107" s="98"/>
      <c r="AB107" s="7"/>
      <c r="AC107" s="7"/>
      <c r="AD107" s="7"/>
      <c r="AE107" s="7"/>
      <c r="AF107" s="7"/>
      <c r="AG107" s="7"/>
      <c r="AH107" s="7"/>
      <c r="AI107" s="8"/>
      <c r="AJ107" s="98" t="s">
        <v>116</v>
      </c>
      <c r="AK107" s="7"/>
      <c r="AL107" s="7"/>
      <c r="AM107" s="7"/>
      <c r="AN107" s="7"/>
      <c r="AO107" s="7"/>
      <c r="AP107" s="7"/>
      <c r="AQ107" s="185"/>
      <c r="AR107" s="99"/>
      <c r="AS107" s="120"/>
      <c r="CN107" s="237"/>
      <c r="CO107" s="328"/>
      <c r="CP107" s="328"/>
      <c r="CQ107" s="328"/>
      <c r="CR107" s="328"/>
      <c r="CS107" s="328"/>
      <c r="CT107" s="328"/>
      <c r="CU107" s="328"/>
      <c r="CV107" s="328"/>
      <c r="CW107" s="328"/>
      <c r="CX107" s="333">
        <f>SUM(CX105:CX106)</f>
        <v>1</v>
      </c>
      <c r="CY107" s="290"/>
      <c r="CZ107" s="290"/>
      <c r="DA107" s="290"/>
      <c r="DB107" s="290"/>
    </row>
    <row r="108">
      <c r="Z108" s="84" t="s">
        <v>117</v>
      </c>
      <c r="AA108" s="219">
        <f t="shared" ref="AA108:AA109" si="49">0</f>
        <v>0</v>
      </c>
      <c r="AB108" s="7"/>
      <c r="AC108" s="7"/>
      <c r="AD108" s="7"/>
      <c r="AE108" s="7"/>
      <c r="AF108" s="7"/>
      <c r="AG108" s="7"/>
      <c r="AH108" s="7"/>
      <c r="AI108" s="8"/>
      <c r="AJ108" s="219">
        <f t="shared" ref="AJ108:AJ109" si="50">0</f>
        <v>0</v>
      </c>
      <c r="AK108" s="7"/>
      <c r="AL108" s="7"/>
      <c r="AM108" s="7"/>
      <c r="AN108" s="7"/>
      <c r="AO108" s="7"/>
      <c r="AP108" s="7"/>
      <c r="AQ108" s="8"/>
      <c r="AR108" s="114">
        <f t="shared" ref="AR108:AR109" si="51">SUM(AA108:AQ108)</f>
        <v>0</v>
      </c>
      <c r="AS108" s="120"/>
      <c r="CO108" s="227"/>
      <c r="CP108" s="290"/>
      <c r="CQ108" s="290"/>
      <c r="CR108" s="290"/>
      <c r="CS108" s="290"/>
      <c r="CT108" s="290"/>
      <c r="CU108" s="290"/>
      <c r="CV108" s="290"/>
      <c r="CW108" s="290"/>
      <c r="CX108" s="290"/>
      <c r="CY108" s="290"/>
      <c r="CZ108" s="290"/>
      <c r="DA108" s="290"/>
      <c r="DB108" s="290"/>
    </row>
    <row r="109">
      <c r="Z109" s="84" t="s">
        <v>118</v>
      </c>
      <c r="AA109" s="219">
        <f t="shared" si="49"/>
        <v>0</v>
      </c>
      <c r="AB109" s="7"/>
      <c r="AC109" s="7"/>
      <c r="AD109" s="7"/>
      <c r="AE109" s="7"/>
      <c r="AF109" s="7"/>
      <c r="AG109" s="7"/>
      <c r="AH109" s="7"/>
      <c r="AI109" s="8"/>
      <c r="AJ109" s="219">
        <f t="shared" si="50"/>
        <v>0</v>
      </c>
      <c r="AK109" s="7"/>
      <c r="AL109" s="7"/>
      <c r="AM109" s="7"/>
      <c r="AN109" s="7"/>
      <c r="AO109" s="7"/>
      <c r="AP109" s="7"/>
      <c r="AQ109" s="8"/>
      <c r="AR109" s="114">
        <f t="shared" si="51"/>
        <v>0</v>
      </c>
      <c r="AS109" s="120"/>
      <c r="CN109" s="323" t="s">
        <v>161</v>
      </c>
      <c r="CO109" s="37"/>
      <c r="CP109" s="37"/>
      <c r="CQ109" s="37"/>
      <c r="CR109" s="37"/>
      <c r="CS109" s="37"/>
      <c r="CT109" s="37"/>
      <c r="CU109" s="37"/>
      <c r="CV109" s="37"/>
      <c r="CW109" s="38"/>
      <c r="CX109" s="324"/>
      <c r="CY109" s="290"/>
      <c r="CZ109" s="290"/>
      <c r="DA109" s="290"/>
      <c r="DB109" s="290"/>
    </row>
    <row r="110"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1">
        <f>SUM(AR108:AR109)</f>
        <v>0</v>
      </c>
      <c r="AS110" s="120"/>
      <c r="CN110" s="237"/>
      <c r="CO110" s="325" t="s">
        <v>43</v>
      </c>
      <c r="CP110" s="326"/>
      <c r="CQ110" s="326"/>
      <c r="CR110" s="326"/>
      <c r="CS110" s="326"/>
      <c r="CT110" s="326"/>
      <c r="CU110" s="326"/>
      <c r="CV110" s="326"/>
      <c r="CW110" s="327"/>
      <c r="CX110" s="328"/>
      <c r="CY110" s="290"/>
      <c r="CZ110" s="290"/>
      <c r="DA110" s="290"/>
      <c r="DB110" s="290"/>
    </row>
    <row r="111">
      <c r="Z111" s="119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CN111" s="329" t="s">
        <v>3</v>
      </c>
      <c r="CO111" s="344" t="s">
        <v>4</v>
      </c>
      <c r="CP111" s="345" t="s">
        <v>5</v>
      </c>
      <c r="CQ111" s="345" t="s">
        <v>6</v>
      </c>
      <c r="CR111" s="345" t="s">
        <v>7</v>
      </c>
      <c r="CS111" s="345" t="s">
        <v>8</v>
      </c>
      <c r="CT111" s="345" t="s">
        <v>9</v>
      </c>
      <c r="CU111" s="345" t="s">
        <v>10</v>
      </c>
      <c r="CV111" s="345" t="s">
        <v>11</v>
      </c>
      <c r="CW111" s="345" t="s">
        <v>12</v>
      </c>
      <c r="CX111" s="278" t="s">
        <v>76</v>
      </c>
      <c r="CY111" s="290"/>
      <c r="CZ111" s="290"/>
      <c r="DA111" s="290"/>
      <c r="DB111" s="290"/>
    </row>
    <row r="112">
      <c r="Z112" s="119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CN112" s="253" t="s">
        <v>158</v>
      </c>
      <c r="CO112" s="346"/>
      <c r="CP112" s="346"/>
      <c r="CQ112" s="346"/>
      <c r="CR112" s="346"/>
      <c r="CS112" s="346"/>
      <c r="CT112" s="346"/>
      <c r="CU112" s="346"/>
      <c r="CV112" s="346"/>
      <c r="CW112" s="346"/>
      <c r="CX112" s="332">
        <f t="shared" ref="CX112:CX113" si="53">SUM(CO112:CW112)</f>
        <v>0</v>
      </c>
      <c r="CY112" s="290"/>
      <c r="CZ112" s="290"/>
      <c r="DA112" s="290"/>
      <c r="DB112" s="290"/>
    </row>
    <row r="113">
      <c r="Z113" s="225" t="s">
        <v>119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87"/>
      <c r="AS113" s="188"/>
      <c r="CN113" s="253" t="s">
        <v>157</v>
      </c>
      <c r="CO113" s="346"/>
      <c r="CP113" s="346">
        <f t="shared" ref="CP113:CQ113" si="52">1</f>
        <v>1</v>
      </c>
      <c r="CQ113" s="346">
        <f t="shared" si="52"/>
        <v>1</v>
      </c>
      <c r="CR113" s="346"/>
      <c r="CS113" s="346"/>
      <c r="CT113" s="346"/>
      <c r="CU113" s="346"/>
      <c r="CV113" s="346"/>
      <c r="CW113" s="346"/>
      <c r="CX113" s="332">
        <f t="shared" si="53"/>
        <v>2</v>
      </c>
      <c r="CY113" s="290"/>
      <c r="CZ113" s="290"/>
      <c r="DA113" s="290"/>
      <c r="DB113" s="290"/>
    </row>
    <row r="114">
      <c r="Z114" s="171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9"/>
      <c r="AS114" s="188"/>
      <c r="CN114" s="237"/>
      <c r="CO114" s="328"/>
      <c r="CP114" s="328"/>
      <c r="CQ114" s="328"/>
      <c r="CR114" s="328"/>
      <c r="CS114" s="328"/>
      <c r="CT114" s="328"/>
      <c r="CU114" s="328"/>
      <c r="CV114" s="328"/>
      <c r="CW114" s="328"/>
      <c r="CX114" s="333">
        <f>SUM(CX112:CX113)</f>
        <v>2</v>
      </c>
      <c r="CY114" s="290"/>
      <c r="CZ114" s="290"/>
      <c r="DA114" s="290"/>
      <c r="DB114" s="290"/>
    </row>
    <row r="115">
      <c r="Z115" s="104"/>
      <c r="AA115" s="190" t="s">
        <v>1</v>
      </c>
      <c r="AB115" s="7"/>
      <c r="AC115" s="7"/>
      <c r="AD115" s="7"/>
      <c r="AE115" s="7"/>
      <c r="AF115" s="7"/>
      <c r="AG115" s="7"/>
      <c r="AH115" s="8"/>
      <c r="AI115" s="191" t="s">
        <v>97</v>
      </c>
      <c r="AJ115" s="7"/>
      <c r="AK115" s="7"/>
      <c r="AL115" s="7"/>
      <c r="AM115" s="7"/>
      <c r="AN115" s="7"/>
      <c r="AO115" s="7"/>
      <c r="AP115" s="7"/>
      <c r="AQ115" s="7"/>
      <c r="AR115" s="8"/>
      <c r="AS115" s="192"/>
    </row>
    <row r="116">
      <c r="Z116" s="104" t="s">
        <v>98</v>
      </c>
      <c r="AA116" s="114">
        <v>5.0</v>
      </c>
      <c r="AB116" s="114">
        <v>7.0</v>
      </c>
      <c r="AC116" s="114">
        <v>9.0</v>
      </c>
      <c r="AD116" s="114">
        <v>11.0</v>
      </c>
      <c r="AE116" s="114">
        <v>13.0</v>
      </c>
      <c r="AF116" s="114">
        <v>15.0</v>
      </c>
      <c r="AG116" s="114">
        <v>17.0</v>
      </c>
      <c r="AH116" s="193">
        <v>19.0</v>
      </c>
      <c r="AI116" s="194">
        <v>28.0</v>
      </c>
      <c r="AJ116" s="114">
        <v>30.0</v>
      </c>
      <c r="AK116" s="114">
        <v>32.0</v>
      </c>
      <c r="AL116" s="114">
        <v>34.0</v>
      </c>
      <c r="AM116" s="114">
        <v>36.0</v>
      </c>
      <c r="AN116" s="114">
        <v>38.0</v>
      </c>
      <c r="AO116" s="114">
        <v>40.0</v>
      </c>
      <c r="AP116" s="114">
        <v>42.0</v>
      </c>
      <c r="AQ116" s="114">
        <v>44.0</v>
      </c>
      <c r="AR116" s="114">
        <v>46.0</v>
      </c>
      <c r="AS116" s="99"/>
    </row>
    <row r="117">
      <c r="Z117" s="226" t="s">
        <v>120</v>
      </c>
      <c r="AA117" s="197"/>
      <c r="AB117" s="197"/>
      <c r="AC117" s="197">
        <f>1</f>
        <v>1</v>
      </c>
      <c r="AD117" s="197"/>
      <c r="AE117" s="197"/>
      <c r="AF117" s="197"/>
      <c r="AG117" s="197"/>
      <c r="AH117" s="197"/>
      <c r="AI117" s="197"/>
      <c r="AJ117" s="197"/>
      <c r="AK117" s="197"/>
      <c r="AL117" s="197">
        <f>1</f>
        <v>1</v>
      </c>
      <c r="AM117" s="197"/>
      <c r="AN117" s="197"/>
      <c r="AO117" s="197"/>
      <c r="AP117" s="197"/>
      <c r="AQ117" s="197"/>
      <c r="AR117" s="197"/>
      <c r="AS117" s="198">
        <f>SUM(AA117:AR118)</f>
        <v>2</v>
      </c>
    </row>
    <row r="118"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>
      <c r="Z119" s="11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31"/>
    </row>
    <row r="120">
      <c r="Z120" s="227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</row>
    <row r="121">
      <c r="Z121" s="227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</row>
    <row r="122">
      <c r="Z122" s="227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</row>
    <row r="123">
      <c r="Z123" s="227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>
      <c r="Z124" s="228" t="s">
        <v>121</v>
      </c>
      <c r="AA124" s="7"/>
      <c r="AB124" s="7"/>
      <c r="AC124" s="7"/>
      <c r="AD124" s="7"/>
      <c r="AE124" s="7"/>
      <c r="AF124" s="7"/>
      <c r="AG124" s="7"/>
      <c r="AH124" s="7"/>
      <c r="AI124" s="7"/>
      <c r="AJ124" s="8"/>
      <c r="AK124" s="362"/>
      <c r="AL124" s="362"/>
      <c r="AM124" s="362"/>
      <c r="AN124" s="131"/>
      <c r="AO124" s="131"/>
      <c r="AP124" s="131"/>
      <c r="AQ124" s="131"/>
      <c r="AR124" s="131"/>
      <c r="AS124" s="131"/>
    </row>
    <row r="125">
      <c r="Z125" s="230" t="s">
        <v>87</v>
      </c>
      <c r="AA125" s="231" t="s">
        <v>4</v>
      </c>
      <c r="AB125" s="231" t="s">
        <v>53</v>
      </c>
      <c r="AC125" s="231" t="s">
        <v>54</v>
      </c>
      <c r="AD125" s="231" t="s">
        <v>55</v>
      </c>
      <c r="AE125" s="231" t="s">
        <v>56</v>
      </c>
      <c r="AF125" s="231" t="s">
        <v>9</v>
      </c>
      <c r="AG125" s="231" t="s">
        <v>10</v>
      </c>
      <c r="AH125" s="231" t="s">
        <v>11</v>
      </c>
      <c r="AI125" s="231" t="s">
        <v>12</v>
      </c>
      <c r="AJ125" s="361" t="s">
        <v>52</v>
      </c>
      <c r="AK125" s="131"/>
      <c r="AL125" s="131"/>
      <c r="AM125" s="131"/>
      <c r="AN125" s="131"/>
      <c r="AO125" s="131"/>
      <c r="AP125" s="131"/>
      <c r="AQ125" s="131"/>
      <c r="AR125" s="131"/>
      <c r="AS125" s="131"/>
    </row>
    <row r="126">
      <c r="Z126" s="230" t="s">
        <v>68</v>
      </c>
      <c r="AA126" s="233"/>
      <c r="AB126" s="233"/>
      <c r="AC126" s="233"/>
      <c r="AD126" s="234">
        <f>2</f>
        <v>2</v>
      </c>
      <c r="AE126" s="233"/>
      <c r="AF126" s="233"/>
      <c r="AG126" s="233"/>
      <c r="AH126" s="233"/>
      <c r="AI126" s="233"/>
      <c r="AJ126" s="235">
        <f>SUM(AA126:AI126)</f>
        <v>2</v>
      </c>
      <c r="AK126" s="131"/>
      <c r="AL126" s="131"/>
      <c r="AM126" s="131"/>
      <c r="AN126" s="131"/>
      <c r="AO126" s="131"/>
      <c r="AP126" s="131"/>
      <c r="AQ126" s="131"/>
      <c r="AR126" s="131"/>
      <c r="AS126" s="131"/>
    </row>
    <row r="127">
      <c r="AS127" s="120"/>
    </row>
    <row r="128">
      <c r="Z128" s="236" t="s">
        <v>122</v>
      </c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7"/>
    </row>
    <row r="129">
      <c r="Z129" s="208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7"/>
    </row>
    <row r="130">
      <c r="Z130" s="237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9"/>
    </row>
    <row r="131">
      <c r="Z131" s="237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9"/>
    </row>
    <row r="132">
      <c r="Z132" s="363" t="s">
        <v>123</v>
      </c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356"/>
    </row>
    <row r="133">
      <c r="Z133" s="364"/>
      <c r="AA133" s="365"/>
      <c r="AB133" s="365"/>
      <c r="AC133" s="365"/>
      <c r="AD133" s="328"/>
      <c r="AE133" s="328"/>
      <c r="AF133" s="328"/>
      <c r="AG133" s="328"/>
      <c r="AH133" s="366" t="s">
        <v>43</v>
      </c>
      <c r="AI133" s="185"/>
      <c r="AJ133" s="367"/>
      <c r="AK133" s="367"/>
      <c r="AL133" s="367"/>
      <c r="AM133" s="365"/>
      <c r="AN133" s="365"/>
      <c r="AO133" s="365"/>
      <c r="AP133" s="365"/>
      <c r="AQ133" s="365"/>
      <c r="AR133" s="365"/>
      <c r="AS133" s="368"/>
    </row>
    <row r="134">
      <c r="Z134" s="249" t="s">
        <v>51</v>
      </c>
      <c r="AA134" s="250"/>
      <c r="AB134" s="250"/>
      <c r="AC134" s="250"/>
      <c r="AD134" s="250"/>
      <c r="AE134" s="250"/>
      <c r="AF134" s="250"/>
      <c r="AG134" s="250"/>
      <c r="AH134" s="250"/>
      <c r="AI134" s="251" t="s">
        <v>52</v>
      </c>
    </row>
    <row r="135">
      <c r="Z135" s="99"/>
      <c r="AA135" s="252" t="s">
        <v>4</v>
      </c>
      <c r="AB135" s="252" t="s">
        <v>53</v>
      </c>
      <c r="AC135" s="252" t="s">
        <v>54</v>
      </c>
      <c r="AD135" s="252" t="s">
        <v>55</v>
      </c>
      <c r="AE135" s="252" t="s">
        <v>56</v>
      </c>
      <c r="AF135" s="252" t="s">
        <v>9</v>
      </c>
      <c r="AG135" s="252" t="s">
        <v>10</v>
      </c>
      <c r="AH135" s="252" t="s">
        <v>11</v>
      </c>
      <c r="AI135" s="99"/>
    </row>
    <row r="136">
      <c r="Z136" s="253" t="s">
        <v>124</v>
      </c>
      <c r="AA136" s="250">
        <f>0</f>
        <v>0</v>
      </c>
      <c r="AB136" s="254">
        <f>1</f>
        <v>1</v>
      </c>
      <c r="AC136" s="254"/>
      <c r="AD136" s="254"/>
      <c r="AE136" s="254">
        <f>1</f>
        <v>1</v>
      </c>
      <c r="AF136" s="254"/>
      <c r="AG136" s="254"/>
      <c r="AH136" s="250"/>
      <c r="AI136" s="255">
        <f>SUM(AA136:AH136)</f>
        <v>2</v>
      </c>
    </row>
    <row r="137">
      <c r="Z137" s="237"/>
      <c r="AA137" s="238"/>
      <c r="AB137" s="238"/>
      <c r="AC137" s="238"/>
      <c r="AD137" s="238"/>
      <c r="AE137" s="238"/>
      <c r="AF137" s="238"/>
      <c r="AG137" s="238"/>
      <c r="AH137" s="238"/>
      <c r="AI137" s="256">
        <f>SUM(AI136)</f>
        <v>2</v>
      </c>
      <c r="AJ137" s="238"/>
      <c r="AK137" s="238"/>
      <c r="AL137" s="238"/>
      <c r="AM137" s="238"/>
      <c r="AN137" s="238"/>
      <c r="AO137" s="238"/>
      <c r="AP137" s="238"/>
      <c r="AQ137" s="238"/>
      <c r="AR137" s="238"/>
    </row>
    <row r="138">
      <c r="Z138" s="237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9"/>
    </row>
    <row r="139">
      <c r="Z139" s="369" t="s">
        <v>125</v>
      </c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356"/>
    </row>
    <row r="140">
      <c r="Z140" s="258"/>
      <c r="AA140" s="259" t="s">
        <v>1</v>
      </c>
      <c r="AB140" s="7"/>
      <c r="AC140" s="7"/>
      <c r="AD140" s="7"/>
      <c r="AE140" s="7"/>
      <c r="AF140" s="7"/>
      <c r="AG140" s="7"/>
      <c r="AH140" s="7"/>
      <c r="AI140" s="8"/>
      <c r="AJ140" s="260" t="s">
        <v>2</v>
      </c>
      <c r="AK140" s="222"/>
      <c r="AL140" s="222"/>
      <c r="AM140" s="222"/>
      <c r="AN140" s="222"/>
      <c r="AO140" s="222"/>
      <c r="AP140" s="222"/>
      <c r="AQ140" s="222"/>
      <c r="AR140" s="222"/>
      <c r="AS140" s="261"/>
    </row>
    <row r="141">
      <c r="Z141" s="249" t="s">
        <v>51</v>
      </c>
      <c r="AA141" s="250"/>
      <c r="AB141" s="250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  <c r="AQ141" s="250"/>
      <c r="AR141" s="262"/>
      <c r="AS141" s="251" t="s">
        <v>52</v>
      </c>
    </row>
    <row r="142">
      <c r="Z142" s="99"/>
      <c r="AA142" s="252" t="s">
        <v>4</v>
      </c>
      <c r="AB142" s="252" t="s">
        <v>53</v>
      </c>
      <c r="AC142" s="252" t="s">
        <v>54</v>
      </c>
      <c r="AD142" s="252" t="s">
        <v>55</v>
      </c>
      <c r="AE142" s="252" t="s">
        <v>56</v>
      </c>
      <c r="AF142" s="252" t="s">
        <v>9</v>
      </c>
      <c r="AG142" s="252" t="s">
        <v>10</v>
      </c>
      <c r="AH142" s="252" t="s">
        <v>11</v>
      </c>
      <c r="AI142" s="252" t="s">
        <v>12</v>
      </c>
      <c r="AJ142" s="252" t="s">
        <v>4</v>
      </c>
      <c r="AK142" s="252" t="s">
        <v>53</v>
      </c>
      <c r="AL142" s="252" t="s">
        <v>54</v>
      </c>
      <c r="AM142" s="252" t="s">
        <v>55</v>
      </c>
      <c r="AN142" s="252" t="s">
        <v>56</v>
      </c>
      <c r="AO142" s="252" t="s">
        <v>9</v>
      </c>
      <c r="AP142" s="252" t="s">
        <v>10</v>
      </c>
      <c r="AQ142" s="252" t="s">
        <v>11</v>
      </c>
      <c r="AR142" s="263" t="s">
        <v>12</v>
      </c>
      <c r="AS142" s="99"/>
    </row>
    <row r="143">
      <c r="Z143" s="253" t="s">
        <v>126</v>
      </c>
      <c r="AA143" s="108"/>
      <c r="AB143" s="108"/>
      <c r="AC143" s="108"/>
      <c r="AD143" s="108">
        <f>1</f>
        <v>1</v>
      </c>
      <c r="AE143" s="108"/>
      <c r="AF143" s="108"/>
      <c r="AG143" s="108"/>
      <c r="AH143" s="108"/>
      <c r="AI143" s="108"/>
      <c r="AJ143" s="108"/>
      <c r="AK143" s="108">
        <f>1</f>
        <v>1</v>
      </c>
      <c r="AL143" s="108"/>
      <c r="AM143" s="108"/>
      <c r="AN143" s="108"/>
      <c r="AO143" s="108"/>
      <c r="AP143" s="108"/>
      <c r="AQ143" s="108"/>
      <c r="AR143" s="108"/>
      <c r="AS143" s="108">
        <f>SUM(AA143:AR143)</f>
        <v>2</v>
      </c>
    </row>
    <row r="144">
      <c r="Z144" s="264"/>
      <c r="AA144" s="238"/>
      <c r="AB144" s="238"/>
      <c r="AC144" s="238"/>
      <c r="AD144" s="238"/>
      <c r="AE144" s="238"/>
      <c r="AF144" s="238"/>
      <c r="AG144" s="238"/>
      <c r="AH144" s="238"/>
      <c r="AI144" s="238"/>
      <c r="AJ144" s="238"/>
      <c r="AK144" s="238"/>
      <c r="AL144" s="238"/>
      <c r="AM144" s="238"/>
      <c r="AN144" s="238"/>
      <c r="AO144" s="238"/>
      <c r="AP144" s="238"/>
      <c r="AQ144" s="238"/>
      <c r="AR144" s="238"/>
      <c r="AS144" s="265">
        <f>SUM(AS143)</f>
        <v>2</v>
      </c>
    </row>
    <row r="148">
      <c r="Z148" s="144" t="s">
        <v>127</v>
      </c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8"/>
    </row>
    <row r="149">
      <c r="Z149" s="266"/>
      <c r="AA149" s="267"/>
      <c r="AB149" s="146" t="s">
        <v>84</v>
      </c>
      <c r="AC149" s="7"/>
      <c r="AD149" s="7"/>
      <c r="AE149" s="7"/>
      <c r="AF149" s="7"/>
      <c r="AG149" s="7"/>
      <c r="AH149" s="7"/>
      <c r="AI149" s="7"/>
      <c r="AJ149" s="7"/>
      <c r="AK149" s="8"/>
    </row>
    <row r="150">
      <c r="Z150" s="266"/>
      <c r="AA150" s="268"/>
      <c r="AB150" s="146" t="s">
        <v>43</v>
      </c>
      <c r="AC150" s="7"/>
      <c r="AD150" s="7"/>
      <c r="AE150" s="7"/>
      <c r="AF150" s="7"/>
      <c r="AG150" s="7"/>
      <c r="AH150" s="7"/>
      <c r="AI150" s="7"/>
      <c r="AJ150" s="7"/>
      <c r="AK150" s="8"/>
    </row>
    <row r="151">
      <c r="Z151" s="146" t="s">
        <v>128</v>
      </c>
      <c r="AA151" s="8"/>
      <c r="AB151" s="146" t="s">
        <v>116</v>
      </c>
      <c r="AC151" s="7"/>
      <c r="AD151" s="7"/>
      <c r="AE151" s="7"/>
      <c r="AF151" s="7"/>
      <c r="AG151" s="7"/>
      <c r="AH151" s="7"/>
      <c r="AI151" s="7"/>
      <c r="AJ151" s="8"/>
      <c r="AK151" s="269" t="s">
        <v>85</v>
      </c>
    </row>
    <row r="152">
      <c r="Z152" s="270" t="s">
        <v>129</v>
      </c>
      <c r="AA152" s="8"/>
      <c r="AB152" s="271"/>
      <c r="AC152" s="7"/>
      <c r="AD152" s="7"/>
      <c r="AE152" s="7"/>
      <c r="AF152" s="7"/>
      <c r="AG152" s="7"/>
      <c r="AH152" s="7"/>
      <c r="AI152" s="7"/>
      <c r="AJ152" s="8"/>
      <c r="AK152" s="114">
        <f t="shared" ref="AK152:AK153" si="54">SUM(AB152)</f>
        <v>0</v>
      </c>
    </row>
    <row r="153">
      <c r="Z153" s="270" t="s">
        <v>130</v>
      </c>
      <c r="AA153" s="8"/>
      <c r="AB153" s="271">
        <f>1</f>
        <v>1</v>
      </c>
      <c r="AC153" s="7"/>
      <c r="AD153" s="7"/>
      <c r="AE153" s="7"/>
      <c r="AF153" s="7"/>
      <c r="AG153" s="7"/>
      <c r="AH153" s="7"/>
      <c r="AI153" s="7"/>
      <c r="AJ153" s="8"/>
      <c r="AK153" s="114">
        <f t="shared" si="54"/>
        <v>1</v>
      </c>
    </row>
    <row r="154">
      <c r="Z154" s="272"/>
      <c r="AA154" s="160"/>
      <c r="AB154" s="273"/>
      <c r="AC154" s="135"/>
      <c r="AD154" s="273"/>
      <c r="AE154" s="273"/>
      <c r="AF154" s="273"/>
      <c r="AG154" s="273"/>
      <c r="AH154" s="273"/>
      <c r="AI154" s="273"/>
      <c r="AJ154" s="135"/>
      <c r="AK154" s="274">
        <f>SUM(AK152:AK153)</f>
        <v>1</v>
      </c>
    </row>
    <row r="158">
      <c r="Z158" s="144" t="s">
        <v>131</v>
      </c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</row>
    <row r="159">
      <c r="Z159" s="266"/>
      <c r="AA159" s="267"/>
      <c r="AB159" s="146" t="s">
        <v>84</v>
      </c>
      <c r="AC159" s="7"/>
      <c r="AD159" s="7"/>
      <c r="AE159" s="7"/>
      <c r="AF159" s="7"/>
      <c r="AG159" s="7"/>
      <c r="AH159" s="7"/>
      <c r="AI159" s="7"/>
      <c r="AJ159" s="7"/>
      <c r="AK159" s="8"/>
    </row>
    <row r="160">
      <c r="Z160" s="266"/>
      <c r="AA160" s="268"/>
      <c r="AB160" s="146" t="s">
        <v>43</v>
      </c>
      <c r="AC160" s="7"/>
      <c r="AD160" s="7"/>
      <c r="AE160" s="7"/>
      <c r="AF160" s="7"/>
      <c r="AG160" s="7"/>
      <c r="AH160" s="7"/>
      <c r="AI160" s="7"/>
      <c r="AJ160" s="7"/>
      <c r="AK160" s="8"/>
    </row>
    <row r="161">
      <c r="Z161" s="146" t="s">
        <v>128</v>
      </c>
      <c r="AA161" s="8"/>
      <c r="AB161" s="146" t="s">
        <v>116</v>
      </c>
      <c r="AC161" s="7"/>
      <c r="AD161" s="7"/>
      <c r="AE161" s="7"/>
      <c r="AF161" s="7"/>
      <c r="AG161" s="7"/>
      <c r="AH161" s="7"/>
      <c r="AI161" s="7"/>
      <c r="AJ161" s="8"/>
      <c r="AK161" s="269" t="s">
        <v>85</v>
      </c>
    </row>
    <row r="162">
      <c r="Z162" s="275" t="s">
        <v>37</v>
      </c>
      <c r="AA162" s="8"/>
      <c r="AB162" s="271">
        <f>1</f>
        <v>1</v>
      </c>
      <c r="AC162" s="7"/>
      <c r="AD162" s="7"/>
      <c r="AE162" s="7"/>
      <c r="AF162" s="7"/>
      <c r="AG162" s="7"/>
      <c r="AH162" s="7"/>
      <c r="AI162" s="7"/>
      <c r="AJ162" s="8"/>
      <c r="AK162" s="114">
        <f t="shared" ref="AK162:AK171" si="55">SUM(AB162)</f>
        <v>1</v>
      </c>
    </row>
    <row r="163">
      <c r="Z163" s="270" t="s">
        <v>112</v>
      </c>
      <c r="AA163" s="8"/>
      <c r="AB163" s="271"/>
      <c r="AC163" s="7"/>
      <c r="AD163" s="7"/>
      <c r="AE163" s="7"/>
      <c r="AF163" s="7"/>
      <c r="AG163" s="7"/>
      <c r="AH163" s="7"/>
      <c r="AI163" s="7"/>
      <c r="AJ163" s="8"/>
      <c r="AK163" s="114">
        <f t="shared" si="55"/>
        <v>0</v>
      </c>
    </row>
    <row r="164">
      <c r="Z164" s="270" t="s">
        <v>132</v>
      </c>
      <c r="AA164" s="8"/>
      <c r="AB164" s="271">
        <f t="shared" ref="AB164:AB165" si="56">1</f>
        <v>1</v>
      </c>
      <c r="AC164" s="7"/>
      <c r="AD164" s="7"/>
      <c r="AE164" s="7"/>
      <c r="AF164" s="7"/>
      <c r="AG164" s="7"/>
      <c r="AH164" s="7"/>
      <c r="AI164" s="7"/>
      <c r="AJ164" s="8"/>
      <c r="AK164" s="114">
        <f t="shared" si="55"/>
        <v>1</v>
      </c>
    </row>
    <row r="165">
      <c r="Z165" s="270" t="s">
        <v>19</v>
      </c>
      <c r="AA165" s="8"/>
      <c r="AB165" s="271">
        <f t="shared" si="56"/>
        <v>1</v>
      </c>
      <c r="AC165" s="7"/>
      <c r="AD165" s="7"/>
      <c r="AE165" s="7"/>
      <c r="AF165" s="7"/>
      <c r="AG165" s="7"/>
      <c r="AH165" s="7"/>
      <c r="AI165" s="7"/>
      <c r="AJ165" s="8"/>
      <c r="AK165" s="114">
        <f t="shared" si="55"/>
        <v>1</v>
      </c>
    </row>
    <row r="166">
      <c r="Z166" s="270" t="s">
        <v>133</v>
      </c>
      <c r="AA166" s="8"/>
      <c r="AB166" s="271"/>
      <c r="AC166" s="7"/>
      <c r="AD166" s="7"/>
      <c r="AE166" s="7"/>
      <c r="AF166" s="7"/>
      <c r="AG166" s="7"/>
      <c r="AH166" s="7"/>
      <c r="AI166" s="7"/>
      <c r="AJ166" s="8"/>
      <c r="AK166" s="114">
        <f t="shared" si="55"/>
        <v>0</v>
      </c>
    </row>
    <row r="167">
      <c r="Z167" s="270" t="s">
        <v>15</v>
      </c>
      <c r="AA167" s="8"/>
      <c r="AB167" s="271"/>
      <c r="AC167" s="7"/>
      <c r="AD167" s="7"/>
      <c r="AE167" s="7"/>
      <c r="AF167" s="7"/>
      <c r="AG167" s="7"/>
      <c r="AH167" s="7"/>
      <c r="AI167" s="7"/>
      <c r="AJ167" s="8"/>
      <c r="AK167" s="114">
        <f t="shared" si="55"/>
        <v>0</v>
      </c>
    </row>
    <row r="168">
      <c r="Z168" s="270" t="s">
        <v>29</v>
      </c>
      <c r="AA168" s="8"/>
      <c r="AB168" s="271"/>
      <c r="AC168" s="7"/>
      <c r="AD168" s="7"/>
      <c r="AE168" s="7"/>
      <c r="AF168" s="7"/>
      <c r="AG168" s="7"/>
      <c r="AH168" s="7"/>
      <c r="AI168" s="7"/>
      <c r="AJ168" s="8"/>
      <c r="AK168" s="114">
        <f t="shared" si="55"/>
        <v>0</v>
      </c>
    </row>
    <row r="169">
      <c r="Z169" s="270" t="s">
        <v>16</v>
      </c>
      <c r="AA169" s="8"/>
      <c r="AB169" s="271">
        <f>1</f>
        <v>1</v>
      </c>
      <c r="AC169" s="7"/>
      <c r="AD169" s="7"/>
      <c r="AE169" s="7"/>
      <c r="AF169" s="7"/>
      <c r="AG169" s="7"/>
      <c r="AH169" s="7"/>
      <c r="AI169" s="7"/>
      <c r="AJ169" s="8"/>
      <c r="AK169" s="114">
        <f t="shared" si="55"/>
        <v>1</v>
      </c>
      <c r="AL169" s="120"/>
      <c r="AM169" s="120"/>
      <c r="AN169" s="120"/>
      <c r="AO169" s="120"/>
      <c r="AP169" s="120"/>
      <c r="AQ169" s="120"/>
      <c r="AR169" s="120"/>
      <c r="AS169" s="123"/>
    </row>
    <row r="170">
      <c r="Z170" s="270" t="s">
        <v>14</v>
      </c>
      <c r="AA170" s="8"/>
      <c r="AB170" s="271"/>
      <c r="AC170" s="7"/>
      <c r="AD170" s="7"/>
      <c r="AE170" s="7"/>
      <c r="AF170" s="7"/>
      <c r="AG170" s="7"/>
      <c r="AH170" s="7"/>
      <c r="AI170" s="7"/>
      <c r="AJ170" s="8"/>
      <c r="AK170" s="114">
        <f t="shared" si="55"/>
        <v>0</v>
      </c>
      <c r="AL170" s="120"/>
      <c r="AM170" s="120"/>
      <c r="AN170" s="120"/>
      <c r="AO170" s="120"/>
      <c r="AP170" s="120"/>
      <c r="AQ170" s="120"/>
      <c r="AR170" s="120"/>
      <c r="AS170" s="123"/>
    </row>
    <row r="171">
      <c r="Z171" s="270" t="s">
        <v>13</v>
      </c>
      <c r="AA171" s="8"/>
      <c r="AB171" s="271"/>
      <c r="AC171" s="7"/>
      <c r="AD171" s="7"/>
      <c r="AE171" s="7"/>
      <c r="AF171" s="7"/>
      <c r="AG171" s="7"/>
      <c r="AH171" s="7"/>
      <c r="AI171" s="7"/>
      <c r="AJ171" s="8"/>
      <c r="AK171" s="114">
        <f t="shared" si="55"/>
        <v>0</v>
      </c>
    </row>
    <row r="172"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21">
        <f>SUM(AK162:AK171)</f>
        <v>4</v>
      </c>
    </row>
    <row r="174">
      <c r="Z174" s="276" t="s">
        <v>134</v>
      </c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8"/>
    </row>
    <row r="175">
      <c r="Z175" s="174" t="s">
        <v>84</v>
      </c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8"/>
    </row>
    <row r="176">
      <c r="Z176" s="277" t="s">
        <v>43</v>
      </c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8"/>
      <c r="AQ176" s="278" t="s">
        <v>85</v>
      </c>
    </row>
    <row r="177">
      <c r="Z177" s="279" t="s">
        <v>87</v>
      </c>
      <c r="AA177" s="3"/>
      <c r="AB177" s="3"/>
      <c r="AC177" s="3"/>
      <c r="AD177" s="3"/>
      <c r="AE177" s="3"/>
      <c r="AF177" s="3"/>
      <c r="AG177" s="4"/>
      <c r="AH177" s="250">
        <v>28.0</v>
      </c>
      <c r="AI177" s="250">
        <v>30.0</v>
      </c>
      <c r="AJ177" s="250">
        <v>32.0</v>
      </c>
      <c r="AK177" s="250">
        <v>34.0</v>
      </c>
      <c r="AL177" s="250">
        <v>36.0</v>
      </c>
      <c r="AM177" s="250">
        <v>38.0</v>
      </c>
      <c r="AN177" s="250">
        <v>40.0</v>
      </c>
      <c r="AO177" s="250">
        <v>42.0</v>
      </c>
      <c r="AP177" s="250">
        <v>44.0</v>
      </c>
      <c r="AQ177" s="278"/>
    </row>
    <row r="178">
      <c r="Z178" s="171"/>
      <c r="AA178" s="128"/>
      <c r="AB178" s="128"/>
      <c r="AC178" s="128"/>
      <c r="AD178" s="128"/>
      <c r="AE178" s="128"/>
      <c r="AF178" s="128"/>
      <c r="AG178" s="162"/>
      <c r="AH178" s="250" t="s">
        <v>4</v>
      </c>
      <c r="AI178" s="250" t="s">
        <v>53</v>
      </c>
      <c r="AJ178" s="250" t="s">
        <v>54</v>
      </c>
      <c r="AK178" s="250" t="s">
        <v>55</v>
      </c>
      <c r="AL178" s="250" t="s">
        <v>56</v>
      </c>
      <c r="AM178" s="250" t="s">
        <v>88</v>
      </c>
      <c r="AN178" s="250" t="s">
        <v>89</v>
      </c>
      <c r="AO178" s="250" t="s">
        <v>90</v>
      </c>
      <c r="AP178" s="250" t="s">
        <v>91</v>
      </c>
      <c r="AQ178" s="278"/>
    </row>
    <row r="179">
      <c r="Z179" s="174" t="s">
        <v>133</v>
      </c>
      <c r="AA179" s="7"/>
      <c r="AB179" s="7"/>
      <c r="AC179" s="7"/>
      <c r="AD179" s="7"/>
      <c r="AE179" s="7"/>
      <c r="AF179" s="7"/>
      <c r="AG179" s="8"/>
      <c r="AH179" s="108"/>
      <c r="AI179" s="108">
        <f t="shared" ref="AI179:AI180" si="57">1</f>
        <v>1</v>
      </c>
      <c r="AJ179" s="108"/>
      <c r="AK179" s="108"/>
      <c r="AL179" s="108"/>
      <c r="AM179" s="108"/>
      <c r="AN179" s="108"/>
      <c r="AO179" s="108"/>
      <c r="AP179" s="108"/>
      <c r="AQ179" s="108">
        <f t="shared" ref="AQ179:AQ181" si="58">SUM(AH179:AP179)</f>
        <v>1</v>
      </c>
    </row>
    <row r="180">
      <c r="Z180" s="174" t="s">
        <v>14</v>
      </c>
      <c r="AA180" s="7"/>
      <c r="AB180" s="7"/>
      <c r="AC180" s="7"/>
      <c r="AD180" s="7"/>
      <c r="AE180" s="7"/>
      <c r="AF180" s="7"/>
      <c r="AG180" s="8"/>
      <c r="AH180" s="108"/>
      <c r="AI180" s="108">
        <f t="shared" si="57"/>
        <v>1</v>
      </c>
      <c r="AJ180" s="108"/>
      <c r="AK180" s="108"/>
      <c r="AL180" s="108"/>
      <c r="AM180" s="108"/>
      <c r="AN180" s="108"/>
      <c r="AO180" s="108"/>
      <c r="AP180" s="108"/>
      <c r="AQ180" s="280">
        <f t="shared" si="58"/>
        <v>1</v>
      </c>
    </row>
    <row r="181">
      <c r="Z181" s="174" t="s">
        <v>20</v>
      </c>
      <c r="AA181" s="7"/>
      <c r="AB181" s="7"/>
      <c r="AC181" s="7"/>
      <c r="AD181" s="7"/>
      <c r="AE181" s="7"/>
      <c r="AF181" s="7"/>
      <c r="AG181" s="8"/>
      <c r="AH181" s="108"/>
      <c r="AI181" s="108"/>
      <c r="AJ181" s="108">
        <f>1</f>
        <v>1</v>
      </c>
      <c r="AK181" s="108"/>
      <c r="AL181" s="108"/>
      <c r="AM181" s="108"/>
      <c r="AN181" s="108">
        <f>1</f>
        <v>1</v>
      </c>
      <c r="AO181" s="108"/>
      <c r="AP181" s="108"/>
      <c r="AQ181" s="108">
        <f t="shared" si="58"/>
        <v>2</v>
      </c>
    </row>
    <row r="182">
      <c r="Z182" s="281"/>
      <c r="AQ182" s="282">
        <f>SUM(AQ179:AQ181)</f>
        <v>4</v>
      </c>
    </row>
  </sheetData>
  <mergeCells count="269">
    <mergeCell ref="AH117:AH118"/>
    <mergeCell ref="AI117:AI118"/>
    <mergeCell ref="Z124:AJ124"/>
    <mergeCell ref="Z128:AS129"/>
    <mergeCell ref="Z132:AS132"/>
    <mergeCell ref="AH133:AI133"/>
    <mergeCell ref="Z134:Z135"/>
    <mergeCell ref="AI134:AI135"/>
    <mergeCell ref="Z139:AS139"/>
    <mergeCell ref="AA140:AI140"/>
    <mergeCell ref="AJ140:AS140"/>
    <mergeCell ref="Z141:Z142"/>
    <mergeCell ref="AS141:AS142"/>
    <mergeCell ref="Z148:AK148"/>
    <mergeCell ref="Z151:AA151"/>
    <mergeCell ref="AB151:AJ151"/>
    <mergeCell ref="Z152:AA152"/>
    <mergeCell ref="AB152:AJ152"/>
    <mergeCell ref="Z153:AA153"/>
    <mergeCell ref="AB153:AJ153"/>
    <mergeCell ref="Z154:AA154"/>
    <mergeCell ref="Z158:AK158"/>
    <mergeCell ref="AB159:AK159"/>
    <mergeCell ref="AB160:AK160"/>
    <mergeCell ref="Z161:AA161"/>
    <mergeCell ref="AB161:AJ161"/>
    <mergeCell ref="Z162:AA162"/>
    <mergeCell ref="AB162:AJ162"/>
    <mergeCell ref="Z166:AA166"/>
    <mergeCell ref="Z167:AA167"/>
    <mergeCell ref="Z168:AA168"/>
    <mergeCell ref="Z169:AA169"/>
    <mergeCell ref="Z170:AA170"/>
    <mergeCell ref="Z171:AA171"/>
    <mergeCell ref="Z163:AA163"/>
    <mergeCell ref="AB163:AJ163"/>
    <mergeCell ref="Z164:AA164"/>
    <mergeCell ref="AB164:AJ164"/>
    <mergeCell ref="Z165:AA165"/>
    <mergeCell ref="AB165:AJ165"/>
    <mergeCell ref="AB166:AJ166"/>
    <mergeCell ref="Z176:AP176"/>
    <mergeCell ref="Z177:AG178"/>
    <mergeCell ref="Z179:AG179"/>
    <mergeCell ref="Z180:AG180"/>
    <mergeCell ref="Z181:AG181"/>
    <mergeCell ref="AB167:AJ167"/>
    <mergeCell ref="AB168:AJ168"/>
    <mergeCell ref="AB169:AJ169"/>
    <mergeCell ref="AB170:AJ170"/>
    <mergeCell ref="AB171:AJ171"/>
    <mergeCell ref="Z174:AQ174"/>
    <mergeCell ref="Z175:AQ175"/>
    <mergeCell ref="AD117:AD118"/>
    <mergeCell ref="AE117:AE118"/>
    <mergeCell ref="AF117:AF118"/>
    <mergeCell ref="AG117:AG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B149:AK149"/>
    <mergeCell ref="AB150:AK150"/>
    <mergeCell ref="BU24:CC24"/>
    <mergeCell ref="CF24:CM24"/>
    <mergeCell ref="CP24:DA24"/>
    <mergeCell ref="CM25:CM26"/>
    <mergeCell ref="CP25:CX25"/>
    <mergeCell ref="AX16:BF16"/>
    <mergeCell ref="BI16:BP16"/>
    <mergeCell ref="CM16:CM17"/>
    <mergeCell ref="BT22:CM22"/>
    <mergeCell ref="BT23:BT24"/>
    <mergeCell ref="BU23:CM23"/>
    <mergeCell ref="AW29:BP29"/>
    <mergeCell ref="Z1:AK2"/>
    <mergeCell ref="Z3:AS3"/>
    <mergeCell ref="AA4:AI4"/>
    <mergeCell ref="AJ4:AS4"/>
    <mergeCell ref="AS5:AS6"/>
    <mergeCell ref="AW5:AW6"/>
    <mergeCell ref="B1:S1"/>
    <mergeCell ref="AW1:BN3"/>
    <mergeCell ref="BT1:CM2"/>
    <mergeCell ref="CN1:DA1"/>
    <mergeCell ref="B2:J2"/>
    <mergeCell ref="K2:S2"/>
    <mergeCell ref="CP2:DA2"/>
    <mergeCell ref="BT3:CM3"/>
    <mergeCell ref="CP3:CX3"/>
    <mergeCell ref="AW4:BP4"/>
    <mergeCell ref="BT4:BT5"/>
    <mergeCell ref="BU4:CM4"/>
    <mergeCell ref="BU5:CC5"/>
    <mergeCell ref="CF5:CM5"/>
    <mergeCell ref="AX5:BP5"/>
    <mergeCell ref="AX6:BF6"/>
    <mergeCell ref="BI6:BP6"/>
    <mergeCell ref="CM6:CM7"/>
    <mergeCell ref="AW13:BP13"/>
    <mergeCell ref="BT13:CM13"/>
    <mergeCell ref="CP13:DA13"/>
    <mergeCell ref="AW14:BP14"/>
    <mergeCell ref="BT14:BT15"/>
    <mergeCell ref="BU14:CM14"/>
    <mergeCell ref="CP14:CX14"/>
    <mergeCell ref="AX15:BP15"/>
    <mergeCell ref="BU15:CC15"/>
    <mergeCell ref="CF15:CM15"/>
    <mergeCell ref="AW15:AW16"/>
    <mergeCell ref="AW30:AW31"/>
    <mergeCell ref="Z23:AS23"/>
    <mergeCell ref="AA24:AI24"/>
    <mergeCell ref="AJ24:AS24"/>
    <mergeCell ref="AS25:AS26"/>
    <mergeCell ref="AX30:BP30"/>
    <mergeCell ref="AX31:BF31"/>
    <mergeCell ref="BI31:BP31"/>
    <mergeCell ref="BU34:CC34"/>
    <mergeCell ref="CD34:CM34"/>
    <mergeCell ref="CM35:CM36"/>
    <mergeCell ref="BP32:BP33"/>
    <mergeCell ref="BT32:CM32"/>
    <mergeCell ref="CP32:DA32"/>
    <mergeCell ref="BT33:BT34"/>
    <mergeCell ref="CP33:CX33"/>
    <mergeCell ref="B34:S34"/>
    <mergeCell ref="Z34:AS34"/>
    <mergeCell ref="AW38:BP38"/>
    <mergeCell ref="AX39:BP39"/>
    <mergeCell ref="B35:J35"/>
    <mergeCell ref="K35:S35"/>
    <mergeCell ref="AA35:AI35"/>
    <mergeCell ref="AJ35:AS35"/>
    <mergeCell ref="AS36:AS37"/>
    <mergeCell ref="AW37:BP37"/>
    <mergeCell ref="AW39:AW40"/>
    <mergeCell ref="AX40:BF40"/>
    <mergeCell ref="BI40:BP40"/>
    <mergeCell ref="BP41:BP42"/>
    <mergeCell ref="BT41:CM41"/>
    <mergeCell ref="BT42:BT43"/>
    <mergeCell ref="BU42:CM42"/>
    <mergeCell ref="BU43:CC43"/>
    <mergeCell ref="CF43:CM43"/>
    <mergeCell ref="CM44:CM45"/>
    <mergeCell ref="CP44:DA44"/>
    <mergeCell ref="Z45:AS45"/>
    <mergeCell ref="CP45:CX45"/>
    <mergeCell ref="AA46:AI46"/>
    <mergeCell ref="AW46:BP46"/>
    <mergeCell ref="AJ46:AS46"/>
    <mergeCell ref="AS47:AS48"/>
    <mergeCell ref="AW48:BN48"/>
    <mergeCell ref="A49:J49"/>
    <mergeCell ref="AW49:BN49"/>
    <mergeCell ref="A50:J50"/>
    <mergeCell ref="BN50:BN52"/>
    <mergeCell ref="CO103:CW103"/>
    <mergeCell ref="CN109:CW109"/>
    <mergeCell ref="CO110:CW110"/>
    <mergeCell ref="CN79:CW79"/>
    <mergeCell ref="CO80:CW80"/>
    <mergeCell ref="CN87:CX87"/>
    <mergeCell ref="CO88:CX88"/>
    <mergeCell ref="CN95:CX95"/>
    <mergeCell ref="CO96:CX96"/>
    <mergeCell ref="CN102:CW102"/>
    <mergeCell ref="AW50:BM50"/>
    <mergeCell ref="AW51:BD52"/>
    <mergeCell ref="BT52:CL52"/>
    <mergeCell ref="AW53:BD53"/>
    <mergeCell ref="BN53:BO53"/>
    <mergeCell ref="AW54:BD54"/>
    <mergeCell ref="BN54:BO54"/>
    <mergeCell ref="CK55:CL56"/>
    <mergeCell ref="CK57:CL57"/>
    <mergeCell ref="CK59:CL59"/>
    <mergeCell ref="BT53:CL53"/>
    <mergeCell ref="BT54:CL54"/>
    <mergeCell ref="BN55:BO55"/>
    <mergeCell ref="BT55:CA56"/>
    <mergeCell ref="CP55:DA55"/>
    <mergeCell ref="CP56:CX56"/>
    <mergeCell ref="BT57:CA57"/>
    <mergeCell ref="BT58:CA58"/>
    <mergeCell ref="CK58:CL58"/>
    <mergeCell ref="BT61:CC61"/>
    <mergeCell ref="BV62:CB62"/>
    <mergeCell ref="BT63:BT64"/>
    <mergeCell ref="CO64:DG64"/>
    <mergeCell ref="CO65:DG65"/>
    <mergeCell ref="DE71:DG71"/>
    <mergeCell ref="DE72:DG72"/>
    <mergeCell ref="DE73:DG73"/>
    <mergeCell ref="DE74:DG74"/>
    <mergeCell ref="DE75:DG75"/>
    <mergeCell ref="DE76:DG76"/>
    <mergeCell ref="CO66:DG66"/>
    <mergeCell ref="CO67:CV68"/>
    <mergeCell ref="DE67:DG67"/>
    <mergeCell ref="DE68:DG68"/>
    <mergeCell ref="CO69:CV69"/>
    <mergeCell ref="DE69:DG69"/>
    <mergeCell ref="DE70:DG70"/>
    <mergeCell ref="CO70:CV70"/>
    <mergeCell ref="CO71:CV71"/>
    <mergeCell ref="CO72:CV72"/>
    <mergeCell ref="BT73:CD73"/>
    <mergeCell ref="CO73:CV73"/>
    <mergeCell ref="CO74:CV74"/>
    <mergeCell ref="CO75:CV75"/>
    <mergeCell ref="Z56:AS56"/>
    <mergeCell ref="AA57:AI57"/>
    <mergeCell ref="AJ57:AS57"/>
    <mergeCell ref="Z64:AS64"/>
    <mergeCell ref="AA65:AI65"/>
    <mergeCell ref="AJ65:AS65"/>
    <mergeCell ref="AS66:AS67"/>
    <mergeCell ref="Z72:AS72"/>
    <mergeCell ref="AA73:AI73"/>
    <mergeCell ref="AJ73:AS73"/>
    <mergeCell ref="AS74:AS75"/>
    <mergeCell ref="Z81:AS82"/>
    <mergeCell ref="AD85:AQ85"/>
    <mergeCell ref="Z86:Z87"/>
    <mergeCell ref="AD86:AF87"/>
    <mergeCell ref="AP86:AQ87"/>
    <mergeCell ref="AD88:AF88"/>
    <mergeCell ref="AP88:AQ88"/>
    <mergeCell ref="AD89:AF89"/>
    <mergeCell ref="AP89:AQ89"/>
    <mergeCell ref="AD90:AF90"/>
    <mergeCell ref="AP90:AQ90"/>
    <mergeCell ref="AP91:AQ91"/>
    <mergeCell ref="Z94:AQ94"/>
    <mergeCell ref="Z95:Z97"/>
    <mergeCell ref="AA95:AQ95"/>
    <mergeCell ref="AA96:AQ96"/>
    <mergeCell ref="AA97:AQ97"/>
    <mergeCell ref="AA106:AI106"/>
    <mergeCell ref="AJ106:AQ106"/>
    <mergeCell ref="AA98:AP98"/>
    <mergeCell ref="AA99:AP99"/>
    <mergeCell ref="AA100:AP100"/>
    <mergeCell ref="AP101:AQ101"/>
    <mergeCell ref="Z104:AR104"/>
    <mergeCell ref="AA105:AQ105"/>
    <mergeCell ref="AR105:AR107"/>
    <mergeCell ref="AA107:AI107"/>
    <mergeCell ref="AJ107:AQ107"/>
    <mergeCell ref="AA108:AI108"/>
    <mergeCell ref="AJ108:AQ108"/>
    <mergeCell ref="AA109:AI109"/>
    <mergeCell ref="AJ109:AQ109"/>
    <mergeCell ref="Z113:AR114"/>
    <mergeCell ref="AR117:AR118"/>
    <mergeCell ref="AS117:AS118"/>
    <mergeCell ref="AA115:AH115"/>
    <mergeCell ref="AI115:AR115"/>
    <mergeCell ref="AS115:AS116"/>
    <mergeCell ref="Z117:Z118"/>
    <mergeCell ref="AA117:AA118"/>
    <mergeCell ref="AB117:AB118"/>
    <mergeCell ref="AC117:AC118"/>
  </mergeCells>
  <conditionalFormatting sqref="BU75:CC75 AA126:AI126">
    <cfRule type="cellIs" dxfId="1" priority="1" operator="lessThan">
      <formula>3</formula>
    </cfRule>
  </conditionalFormatting>
  <conditionalFormatting sqref="AA7:AS19">
    <cfRule type="cellIs" dxfId="0" priority="2" operator="lessThan">
      <formula>3</formula>
    </cfRule>
  </conditionalFormatting>
  <conditionalFormatting sqref="AA27:AR31 B37:S43 AA76:AS78 CO112:CX113">
    <cfRule type="cellIs" dxfId="0" priority="3" operator="lessThan">
      <formula>2</formula>
    </cfRule>
  </conditionalFormatting>
  <conditionalFormatting sqref="B4:J28">
    <cfRule type="cellIs" dxfId="0" priority="4" operator="lessThan">
      <formula>2</formula>
    </cfRule>
  </conditionalFormatting>
  <conditionalFormatting sqref="K4:S28">
    <cfRule type="cellIs" dxfId="0" priority="5" operator="lessThan">
      <formula>2</formula>
    </cfRule>
  </conditionalFormatting>
  <drawing r:id="rId1"/>
</worksheet>
</file>