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 FRESH " sheetId="1" r:id="rId5"/>
    <sheet state="visible" name="PREZENZA" sheetId="2" r:id="rId6"/>
    <sheet state="visible" name="SUDADERAS" sheetId="3" r:id="rId7"/>
    <sheet state="visible" name="En exhibición" sheetId="4" r:id="rId8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tc={5261b950-184a-47f0-abab-ebd22e9fc59b}</author>
  </authors>
  <commentList>
    <comment authorId="0" xr:uid="{5261b950-184a-47f0-abab-ebd22e9fc59b}" ref="E1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User:
</t>
      </text>
    </comment>
  </commentList>
</comments>
</file>

<file path=xl/sharedStrings.xml><?xml version="1.0" encoding="utf-8"?>
<sst xmlns="http://schemas.openxmlformats.org/spreadsheetml/2006/main" count="2000" uniqueCount="208">
  <si>
    <t xml:space="preserve"> </t>
  </si>
  <si>
    <t>STOCK MONTERREY   06/07/2026</t>
  </si>
  <si>
    <t>DAMA</t>
  </si>
  <si>
    <t>CABALLERO</t>
  </si>
  <si>
    <t>COLOR /TALLA</t>
  </si>
  <si>
    <t>XCH</t>
  </si>
  <si>
    <t>CH</t>
  </si>
  <si>
    <t>MD</t>
  </si>
  <si>
    <t>GD</t>
  </si>
  <si>
    <t>XG</t>
  </si>
  <si>
    <t>2X</t>
  </si>
  <si>
    <t>3X</t>
  </si>
  <si>
    <t>4X</t>
  </si>
  <si>
    <t>5X</t>
  </si>
  <si>
    <t>NEGRO</t>
  </si>
  <si>
    <t>MARINO</t>
  </si>
  <si>
    <t>GRIS OXFORD</t>
  </si>
  <si>
    <t>VINO</t>
  </si>
  <si>
    <t>ROJO</t>
  </si>
  <si>
    <t xml:space="preserve">BLANCO </t>
  </si>
  <si>
    <t xml:space="preserve">REY </t>
  </si>
  <si>
    <t>GRIS PERLA</t>
  </si>
  <si>
    <t xml:space="preserve">FIUSHA </t>
  </si>
  <si>
    <t>NARANJA</t>
  </si>
  <si>
    <t xml:space="preserve">MORADO / VIOLETA </t>
  </si>
  <si>
    <t>TURQUESA</t>
  </si>
  <si>
    <t>CAQUI</t>
  </si>
  <si>
    <t>ROSA</t>
  </si>
  <si>
    <t>AMARILLO</t>
  </si>
  <si>
    <t>AZUL CIELO</t>
  </si>
  <si>
    <t>VERDE LIMON</t>
  </si>
  <si>
    <t xml:space="preserve">VERDE MANZANA </t>
  </si>
  <si>
    <t xml:space="preserve">VERDE BANDERA </t>
  </si>
  <si>
    <t xml:space="preserve">MENTA </t>
  </si>
  <si>
    <t>VERDE BOTELLA</t>
  </si>
  <si>
    <t>LILA</t>
  </si>
  <si>
    <t>AMARILLO NEON</t>
  </si>
  <si>
    <t>BUGAMBILIA</t>
  </si>
  <si>
    <t>NARANJA NEON</t>
  </si>
  <si>
    <t>PLAYERA BE FRESH  TIPO POLO MANGA LARGA</t>
  </si>
  <si>
    <t xml:space="preserve">GRIS OXFORD </t>
  </si>
  <si>
    <t xml:space="preserve">CUELLO REDONDO </t>
  </si>
  <si>
    <t>UNISEX</t>
  </si>
  <si>
    <t>GRIS</t>
  </si>
  <si>
    <t>INVENTARIO GENERAL SUC MONTERREY 06/07/2026</t>
  </si>
  <si>
    <t xml:space="preserve">  </t>
  </si>
  <si>
    <t>CHALECOS</t>
  </si>
  <si>
    <t xml:space="preserve">CHALECO HYDRO </t>
  </si>
  <si>
    <t xml:space="preserve">TALLA / COLOR </t>
  </si>
  <si>
    <t>S</t>
  </si>
  <si>
    <t>M</t>
  </si>
  <si>
    <t>L</t>
  </si>
  <si>
    <t>XL</t>
  </si>
  <si>
    <t>TOTAL</t>
  </si>
  <si>
    <t xml:space="preserve">NEGRO </t>
  </si>
  <si>
    <t xml:space="preserve">MARINO </t>
  </si>
  <si>
    <t>CHALECO SHEL</t>
  </si>
  <si>
    <t xml:space="preserve">ROJO </t>
  </si>
  <si>
    <t>CHALECO FIT</t>
  </si>
  <si>
    <t>VERDE</t>
  </si>
  <si>
    <t xml:space="preserve">VINO </t>
  </si>
  <si>
    <t xml:space="preserve">NARANJA </t>
  </si>
  <si>
    <t>CHALECO CHIC</t>
  </si>
  <si>
    <t xml:space="preserve">CABALLERO </t>
  </si>
  <si>
    <t xml:space="preserve">CHALECO FULL </t>
  </si>
  <si>
    <t xml:space="preserve">CHAMARRAS </t>
  </si>
  <si>
    <t xml:space="preserve">CHAMARRA HYDRO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</si>
  <si>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</si>
  <si>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CHAMARRA SHEL</t>
  </si>
  <si>
    <t xml:space="preserve">CHAMARRA REACTION </t>
  </si>
  <si>
    <t>CHAMARRA CHIC</t>
  </si>
  <si>
    <t>CHAMARRA ATRACTIVE</t>
  </si>
  <si>
    <t>CHAMARRA BOMBER FULL</t>
  </si>
  <si>
    <t>ROMPEVIENTOS</t>
  </si>
  <si>
    <t>BLANCO</t>
  </si>
  <si>
    <t xml:space="preserve">CHAMARRA CAPITONADA IMPORTADA </t>
  </si>
  <si>
    <t xml:space="preserve">LINEA DE SEGURIDAD </t>
  </si>
  <si>
    <t>LINEA SECURITY</t>
  </si>
  <si>
    <t>CHALECO BRIGADISTA UNISEX</t>
  </si>
  <si>
    <t xml:space="preserve">TOTAL </t>
  </si>
  <si>
    <t>KAKI</t>
  </si>
  <si>
    <t>REY</t>
  </si>
  <si>
    <t>G. PERLA</t>
  </si>
  <si>
    <t>BCO</t>
  </si>
  <si>
    <t>NGO</t>
  </si>
  <si>
    <t>CHALECO MEXICO CON REFLEJANTE UNISEX</t>
  </si>
  <si>
    <t>COLOR / TALLA</t>
  </si>
  <si>
    <t>CHALECO ALTA VISIBILIDAD UNISEX</t>
  </si>
  <si>
    <t>UNITALLA</t>
  </si>
  <si>
    <t>BLUSAS Y CAMISAS</t>
  </si>
  <si>
    <t xml:space="preserve">MEETING </t>
  </si>
  <si>
    <t>AZUL FRANCIA</t>
  </si>
  <si>
    <t xml:space="preserve">AMALFI </t>
  </si>
  <si>
    <t>Color</t>
  </si>
  <si>
    <t>AZUL</t>
  </si>
  <si>
    <t>VERONA</t>
  </si>
  <si>
    <t>A. FRANCIA</t>
  </si>
  <si>
    <t xml:space="preserve">TURIN </t>
  </si>
  <si>
    <t xml:space="preserve"> OXFORD </t>
  </si>
  <si>
    <t>PAJA</t>
  </si>
  <si>
    <t>A. CIELO</t>
  </si>
  <si>
    <t xml:space="preserve"> PESCADORA</t>
  </si>
  <si>
    <t>ROJA</t>
  </si>
  <si>
    <t>ARENA</t>
  </si>
  <si>
    <t xml:space="preserve">A. CIELO </t>
  </si>
  <si>
    <t>V. MILITAR</t>
  </si>
  <si>
    <t>A. REY</t>
  </si>
  <si>
    <t>ACERO</t>
  </si>
  <si>
    <t>PETROLEO</t>
  </si>
  <si>
    <t>PISTACHE</t>
  </si>
  <si>
    <t>CAMIZA DE MEZCLILLA</t>
  </si>
  <si>
    <t>STONE</t>
  </si>
  <si>
    <t>PANTALON MEZCLILLA</t>
  </si>
  <si>
    <t>P. MEZCLILLA</t>
  </si>
  <si>
    <t>MARINO-AMARILLO</t>
  </si>
  <si>
    <t>CAMISAS SECURITY  C/REFLEJANTE UNISEX</t>
  </si>
  <si>
    <t>LINEA SECURITY / MEZCLILLA CON REFLEJANTE</t>
  </si>
  <si>
    <t>BLUSA</t>
  </si>
  <si>
    <t>CAMISA</t>
  </si>
  <si>
    <t>SECURITY</t>
  </si>
  <si>
    <t>LINEA CHEF</t>
  </si>
  <si>
    <t>MANDIL LONETA</t>
  </si>
  <si>
    <t xml:space="preserve">    </t>
  </si>
  <si>
    <t>MANDIL LARRY LARGO</t>
  </si>
  <si>
    <t>MANDIL LARRY CORTO</t>
  </si>
  <si>
    <t>UNI</t>
  </si>
  <si>
    <t>Filipina</t>
  </si>
  <si>
    <t xml:space="preserve">PANTALON DE GABARDINA </t>
  </si>
  <si>
    <t xml:space="preserve">COLOR / TALLA </t>
  </si>
  <si>
    <t>PLAYERA SUBLIMADA DE MÉXICO</t>
  </si>
  <si>
    <t>CHAMARRA  SUBLIMADA DE MÉXICO</t>
  </si>
  <si>
    <t xml:space="preserve">PESCADORA MANGA CORTA </t>
  </si>
  <si>
    <t xml:space="preserve">PLAYERA SUBLIMADA DE NIÑO DEL MEXICO </t>
  </si>
  <si>
    <t xml:space="preserve">PESCADORA CON REFLEJANTE </t>
  </si>
  <si>
    <t xml:space="preserve">   </t>
  </si>
  <si>
    <t>SUDADERA GALAXY</t>
  </si>
  <si>
    <t>SUDADERA ONIX</t>
  </si>
  <si>
    <t>NARANJA/MARINO</t>
  </si>
  <si>
    <t>AMARILLO/MARINO</t>
  </si>
  <si>
    <t>PLAYERA IRON MANGA LARGA UNISEX</t>
  </si>
  <si>
    <t>XXCH</t>
  </si>
  <si>
    <t>PLAYERA IRON MANGA CORTA UNISEX</t>
  </si>
  <si>
    <t>PLAYERA VERSUS UNISEX</t>
  </si>
  <si>
    <t>SUDADERA FLEECE</t>
  </si>
  <si>
    <t>COLOR</t>
  </si>
  <si>
    <t>SUDADERA BE FRESH</t>
  </si>
  <si>
    <t>SUDADERA HOODIE</t>
  </si>
  <si>
    <t>AZUL REY</t>
  </si>
  <si>
    <t>GRIS JASPE</t>
  </si>
  <si>
    <t>SUDADERA BASICA</t>
  </si>
  <si>
    <t>SUDADERA CON CIERRE</t>
  </si>
  <si>
    <t>CHAMARRA COLLEGE</t>
  </si>
  <si>
    <t>MARINO/JASPE</t>
  </si>
  <si>
    <t>MARINO/OXFORD</t>
  </si>
  <si>
    <t>NGO/BCO</t>
  </si>
  <si>
    <t>NGO/OXFORD</t>
  </si>
  <si>
    <t>ROJO/NGO</t>
  </si>
  <si>
    <t>REY/GRIS JASPE</t>
  </si>
  <si>
    <t>NGO/NGO</t>
  </si>
  <si>
    <t>BLUS PESC</t>
  </si>
  <si>
    <t xml:space="preserve">PLAYERA TIPO POLO MANGA CORTA </t>
  </si>
  <si>
    <t>TALLA</t>
  </si>
  <si>
    <t xml:space="preserve"> CAM PESC</t>
  </si>
  <si>
    <t>GRIS PERLA-</t>
  </si>
  <si>
    <t>MANGA LARGA</t>
  </si>
  <si>
    <t>2XL</t>
  </si>
  <si>
    <t>3XL</t>
  </si>
  <si>
    <t>4XL</t>
  </si>
  <si>
    <t>5XL</t>
  </si>
  <si>
    <t>BLU MEET</t>
  </si>
  <si>
    <t>color</t>
  </si>
  <si>
    <t>CUELLO REDON</t>
  </si>
  <si>
    <t xml:space="preserve"> CAM MEET</t>
  </si>
  <si>
    <t>SUDA GALAX</t>
  </si>
  <si>
    <t>BLU AMAL</t>
  </si>
  <si>
    <t xml:space="preserve"> CAM AMAL</t>
  </si>
  <si>
    <t>SUDA ONI</t>
  </si>
  <si>
    <t>BLU VERO</t>
  </si>
  <si>
    <t>PLAYERA AIRON MANGA LARGA</t>
  </si>
  <si>
    <t>PLAYERA AIRON MANGA CORTA UNISEX</t>
  </si>
  <si>
    <t xml:space="preserve"> CAM VERO</t>
  </si>
  <si>
    <t>PLAYERA VERSU UNISEX</t>
  </si>
  <si>
    <t>BLU TURI</t>
  </si>
  <si>
    <t>X</t>
  </si>
  <si>
    <t>SUDADERA FLEESE</t>
  </si>
  <si>
    <t xml:space="preserve"> CAMI TURI</t>
  </si>
  <si>
    <t>SUDADERA BE FRESHH</t>
  </si>
  <si>
    <t>BLUS OXFO</t>
  </si>
  <si>
    <t>SUDADERA HOODI</t>
  </si>
  <si>
    <t xml:space="preserve"> CAM OXFO</t>
  </si>
  <si>
    <t>SUDADERA BASICAS</t>
  </si>
  <si>
    <t>CHAL HYD</t>
  </si>
  <si>
    <t>CHAL SHELL</t>
  </si>
  <si>
    <t>CHAMARRA COLLEGGE</t>
  </si>
  <si>
    <t>CHAL FITT</t>
  </si>
  <si>
    <t>CHAL CHIK</t>
  </si>
  <si>
    <t>CHAL FUL</t>
  </si>
  <si>
    <t>CHAMARRAS</t>
  </si>
  <si>
    <t>CHAMA HYD</t>
  </si>
  <si>
    <t>CHAM HYD</t>
  </si>
  <si>
    <t>CHAMA SHELL</t>
  </si>
  <si>
    <t>CHAMA REACT</t>
  </si>
  <si>
    <t>CHAMA CHIK</t>
  </si>
  <si>
    <t>CHAMA FULL</t>
  </si>
  <si>
    <t>+</t>
  </si>
  <si>
    <t>ROMPE VIENTOS</t>
  </si>
  <si>
    <t>CHAMA ATRAC</t>
  </si>
  <si>
    <t>CHALECO BRIGADIST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</si>
</sst>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_-;\-* #,##0_-;_-* &quot;-&quot;??_-;_-@"/>
  </numFmts>
  <fonts count="83">
    <font>
      <sz val="11.0"/>
      <color theme="1"/>
      <name val="Calibri"/>
      <scheme val="minor"/>
    </font>
    <font>
      <b/>
      <sz val="12.0"/>
      <color theme="1"/>
      <name val="Arial"/>
    </font>
    <font>
      <b/>
      <u/>
      <sz val="33.0"/>
      <color theme="1"/>
      <name val="Arial Black"/>
    </font>
    <font/>
    <font>
      <b/>
      <sz val="12.0"/>
      <color rgb="FFFF0000"/>
      <name val="Arial"/>
    </font>
    <font>
      <b/>
      <sz val="12.0"/>
      <color theme="1"/>
      <name val="Calibri"/>
    </font>
    <font>
      <sz val="12.0"/>
      <color theme="1"/>
      <name val="Arial"/>
    </font>
    <font>
      <b/>
      <sz val="12.0"/>
      <color theme="1"/>
      <name val="Arial Black"/>
    </font>
    <font>
      <sz val="12.0"/>
      <color theme="1"/>
      <name val="Calibri"/>
    </font>
    <font>
      <u/>
      <sz val="12.0"/>
      <color theme="1"/>
      <name val="Arial"/>
    </font>
    <font>
      <sz val="12.0"/>
      <color rgb="FF000000"/>
      <name val="Arial"/>
    </font>
    <font>
      <u/>
      <sz val="12.0"/>
      <color theme="1"/>
      <name val="Arial"/>
    </font>
    <font>
      <sz val="12.0"/>
      <color theme="1"/>
      <name val="Calibri"/>
      <scheme val="minor"/>
    </font>
    <font>
      <sz val="16.0"/>
      <color theme="1"/>
      <name val="Arial Black"/>
    </font>
    <font>
      <u/>
      <sz val="12.0"/>
      <color theme="1"/>
      <name val="Arial"/>
    </font>
    <font>
      <sz val="17.0"/>
      <color theme="1"/>
      <name val="Arial Black"/>
    </font>
    <font>
      <u/>
      <sz val="12.0"/>
      <color theme="1"/>
      <name val="Arial"/>
    </font>
    <font>
      <b/>
      <sz val="26.0"/>
      <color theme="1"/>
      <name val="Arial"/>
    </font>
    <font>
      <sz val="11.0"/>
      <color theme="1"/>
      <name val="Arial"/>
    </font>
    <font>
      <b/>
      <sz val="48.0"/>
      <color theme="1"/>
      <name val="Arial Black"/>
    </font>
    <font>
      <b/>
      <sz val="16.0"/>
      <color theme="1"/>
      <name val="Arial"/>
    </font>
    <font>
      <u/>
      <sz val="12.0"/>
      <color theme="1"/>
      <name val="Arial"/>
    </font>
    <font>
      <b/>
      <u/>
      <sz val="16.0"/>
      <color theme="1"/>
      <name val="Arial"/>
    </font>
    <font>
      <sz val="20.0"/>
      <color theme="1"/>
      <name val="Arial"/>
    </font>
    <font>
      <sz val="16.0"/>
      <color theme="1"/>
      <name val="Arial"/>
    </font>
    <font>
      <u/>
      <sz val="16.0"/>
      <color theme="1"/>
      <name val="Arial"/>
    </font>
    <font>
      <sz val="18.0"/>
      <color theme="1"/>
      <name val="Arial"/>
    </font>
    <font>
      <sz val="22.0"/>
      <color theme="1"/>
      <name val="Arial"/>
    </font>
    <font>
      <b/>
      <sz val="16.0"/>
      <color theme="1"/>
      <name val="Biome"/>
    </font>
    <font>
      <b/>
      <u/>
      <sz val="16.0"/>
      <color theme="1"/>
      <name val="Biome"/>
    </font>
    <font>
      <sz val="16.0"/>
      <color theme="1"/>
      <name val="Biome"/>
    </font>
    <font>
      <u/>
      <sz val="16.0"/>
      <color theme="1"/>
      <name val="Biome"/>
    </font>
    <font>
      <sz val="11.0"/>
      <color theme="1"/>
      <name val="Calibri"/>
    </font>
    <font>
      <b/>
      <sz val="14.0"/>
      <color theme="1"/>
      <name val="Biome"/>
    </font>
    <font>
      <u/>
      <sz val="16.0"/>
      <color theme="1"/>
      <name val="Biome"/>
    </font>
    <font>
      <sz val="22.0"/>
      <color theme="1"/>
      <name val="Calibri"/>
    </font>
    <font>
      <b/>
      <sz val="48.0"/>
      <color theme="1"/>
      <name val="Aptos Black"/>
    </font>
    <font>
      <sz val="16.0"/>
      <color theme="1"/>
      <name val="Calibri"/>
    </font>
    <font>
      <b/>
      <sz val="48.0"/>
      <color theme="1"/>
      <name val="Arial"/>
    </font>
    <font>
      <b/>
      <sz val="20.0"/>
      <color theme="1"/>
      <name val="Arial Black"/>
    </font>
    <font>
      <u/>
      <sz val="12.0"/>
      <color theme="1"/>
      <name val="Arial"/>
    </font>
    <font>
      <b/>
      <u/>
      <sz val="14.0"/>
      <color theme="1"/>
      <name val="Biome"/>
    </font>
    <font>
      <b/>
      <u/>
      <sz val="14.0"/>
      <color theme="1"/>
      <name val="Biome"/>
    </font>
    <font>
      <u/>
      <sz val="16.0"/>
      <color theme="1"/>
      <name val="Biome"/>
    </font>
    <font>
      <b/>
      <u/>
      <sz val="14.0"/>
      <color theme="1"/>
      <name val="Arial"/>
    </font>
    <font>
      <u/>
      <sz val="16.0"/>
      <color theme="1"/>
      <name val="Biome"/>
    </font>
    <font>
      <b/>
      <sz val="18.0"/>
      <color theme="1"/>
      <name val="Arial"/>
    </font>
    <font>
      <b/>
      <u/>
      <sz val="14.0"/>
      <color theme="1"/>
      <name val="Arial"/>
    </font>
    <font>
      <u/>
      <sz val="16.0"/>
      <color theme="1"/>
      <name val="Biome"/>
    </font>
    <font>
      <u/>
      <sz val="16.0"/>
      <color theme="1"/>
      <name val="Biome"/>
    </font>
    <font>
      <sz val="16.0"/>
      <color rgb="FF000000"/>
      <name val="Biome"/>
    </font>
    <font>
      <sz val="22.0"/>
      <color theme="1"/>
      <name val="Biome"/>
    </font>
    <font>
      <sz val="24.0"/>
      <color theme="1"/>
      <name val="Arial"/>
    </font>
    <font>
      <b/>
      <sz val="16.0"/>
      <color rgb="FF000000"/>
      <name val="Biome"/>
    </font>
    <font>
      <b/>
      <sz val="11.0"/>
      <color theme="1"/>
      <name val="Biome"/>
    </font>
    <font>
      <b/>
      <u/>
      <sz val="14.0"/>
      <color theme="1"/>
      <name val="Biome"/>
    </font>
    <font>
      <b/>
      <sz val="12.0"/>
      <color theme="1"/>
      <name val="Biome"/>
    </font>
    <font>
      <b/>
      <sz val="17.0"/>
      <color theme="1"/>
      <name val="Arial"/>
    </font>
    <font>
      <sz val="17.0"/>
      <color theme="1"/>
      <name val="Arial"/>
    </font>
    <font>
      <u/>
      <sz val="16.0"/>
      <color theme="1"/>
      <name val="Arial"/>
    </font>
    <font>
      <u/>
      <sz val="16.0"/>
      <color theme="1"/>
      <name val="Arial"/>
    </font>
    <font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u/>
      <sz val="12.0"/>
      <color theme="1"/>
      <name val="Biome"/>
    </font>
    <font>
      <sz val="26.0"/>
      <color theme="1"/>
      <name val="Arial Black"/>
    </font>
    <font>
      <sz val="28.0"/>
      <color theme="1"/>
      <name val="Arial"/>
    </font>
    <font>
      <b/>
      <sz val="11.0"/>
      <color theme="1"/>
      <name val="Arial"/>
    </font>
    <font>
      <u/>
      <sz val="16.0"/>
      <color theme="1"/>
      <name val="Biome"/>
    </font>
    <font>
      <sz val="16.0"/>
      <color rgb="FF000000"/>
      <name val="Arial"/>
    </font>
    <font>
      <u/>
      <sz val="16.0"/>
      <color theme="1"/>
      <name val="Arial"/>
    </font>
    <font>
      <u/>
      <sz val="16.0"/>
      <color theme="1"/>
      <name val="Arial"/>
    </font>
    <font>
      <u/>
      <sz val="11.0"/>
      <color theme="1"/>
      <name val="Arial"/>
    </font>
    <font>
      <u/>
      <sz val="12.0"/>
      <color theme="1"/>
      <name val="Arial"/>
    </font>
    <font>
      <b/>
      <u/>
      <sz val="16.0"/>
      <color theme="1"/>
      <name val="Biome"/>
    </font>
    <font>
      <b/>
      <u/>
      <sz val="16.0"/>
      <color theme="1"/>
      <name val="Biome"/>
    </font>
    <font>
      <b/>
      <u/>
      <sz val="16.0"/>
      <color theme="1"/>
      <name val="Biome"/>
    </font>
    <font>
      <u/>
      <sz val="16.0"/>
      <color theme="1"/>
      <name val="Biome"/>
    </font>
    <font>
      <b/>
      <sz val="16.0"/>
      <color theme="1"/>
      <name val="Arial Black"/>
    </font>
    <font>
      <b/>
      <u/>
      <sz val="16.0"/>
      <color theme="1"/>
      <name val="Biome"/>
    </font>
    <font>
      <u/>
      <sz val="16.0"/>
      <color theme="1"/>
      <name val="Biome"/>
    </font>
    <font>
      <sz val="14.0"/>
      <color theme="1"/>
      <name val="Arial Black"/>
    </font>
    <font>
      <u/>
      <sz val="11.0"/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99CC"/>
        <bgColor rgb="FFFF99CC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75">
    <border/>
    <border>
      <left/>
      <right/>
      <top/>
      <bottom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/>
      <right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/>
      <bottom/>
    </border>
    <border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left/>
      <right/>
      <top/>
      <bottom style="thin">
        <color rgb="FF000000"/>
      </bottom>
    </border>
    <border>
      <left/>
      <right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</border>
    <border>
      <left/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medium">
        <color rgb="FF000000"/>
      </left>
      <top/>
      <bottom style="medium">
        <color rgb="FF000000"/>
      </bottom>
    </border>
    <border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39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1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2" fontId="4" numFmtId="164" xfId="0" applyAlignment="1" applyBorder="1" applyFont="1" applyNumberFormat="1">
      <alignment horizontal="center" shrinkToFit="0" vertical="top" wrapText="1"/>
    </xf>
    <xf borderId="0" fillId="0" fontId="5" numFmtId="0" xfId="0" applyFont="1"/>
    <xf borderId="1" fillId="2" fontId="6" numFmtId="0" xfId="0" applyAlignment="1" applyBorder="1" applyFont="1">
      <alignment horizontal="center" vertical="center"/>
    </xf>
    <xf borderId="5" fillId="2" fontId="7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6" numFmtId="164" xfId="0" applyAlignment="1" applyBorder="1" applyFont="1" applyNumberFormat="1">
      <alignment horizontal="center" shrinkToFit="0" vertical="top" wrapText="1"/>
    </xf>
    <xf borderId="0" fillId="0" fontId="8" numFmtId="0" xfId="0" applyFont="1"/>
    <xf borderId="8" fillId="3" fontId="6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8" fillId="4" fontId="6" numFmtId="0" xfId="0" applyAlignment="1" applyBorder="1" applyFill="1" applyFont="1">
      <alignment horizontal="center" shrinkToFit="0" vertical="center" wrapText="1"/>
    </xf>
    <xf borderId="11" fillId="2" fontId="6" numFmtId="0" xfId="0" applyAlignment="1" applyBorder="1" applyFont="1">
      <alignment horizontal="center" vertical="center"/>
    </xf>
    <xf borderId="12" fillId="3" fontId="1" numFmtId="0" xfId="0" applyAlignment="1" applyBorder="1" applyFont="1">
      <alignment horizontal="center" vertical="center"/>
    </xf>
    <xf borderId="13" fillId="3" fontId="1" numFmtId="0" xfId="0" applyAlignment="1" applyBorder="1" applyFont="1">
      <alignment horizontal="center" vertical="center"/>
    </xf>
    <xf borderId="13" fillId="4" fontId="1" numFmtId="0" xfId="0" applyAlignment="1" applyBorder="1" applyFont="1">
      <alignment horizontal="center" vertical="center"/>
    </xf>
    <xf borderId="14" fillId="4" fontId="1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readingOrder="0" shrinkToFit="0" vertical="top" wrapText="1"/>
    </xf>
    <xf borderId="15" fillId="2" fontId="1" numFmtId="0" xfId="0" applyAlignment="1" applyBorder="1" applyFont="1">
      <alignment horizontal="center" vertical="center"/>
    </xf>
    <xf borderId="16" fillId="5" fontId="6" numFmtId="0" xfId="0" applyAlignment="1" applyBorder="1" applyFill="1" applyFont="1">
      <alignment horizontal="center" vertical="center"/>
    </xf>
    <xf borderId="16" fillId="5" fontId="9" numFmtId="0" xfId="0" applyAlignment="1" applyBorder="1" applyFont="1">
      <alignment horizontal="center" vertical="center"/>
    </xf>
    <xf borderId="16" fillId="6" fontId="6" numFmtId="0" xfId="0" applyAlignment="1" applyBorder="1" applyFill="1" applyFont="1">
      <alignment horizontal="center" vertical="center"/>
    </xf>
    <xf borderId="17" fillId="2" fontId="6" numFmtId="164" xfId="0" applyAlignment="1" applyBorder="1" applyFont="1" applyNumberFormat="1">
      <alignment horizontal="center" shrinkToFit="0" vertical="top" wrapText="1"/>
    </xf>
    <xf borderId="16" fillId="6" fontId="6" numFmtId="0" xfId="0" applyAlignment="1" applyBorder="1" applyFont="1">
      <alignment horizontal="center" readingOrder="0" vertical="center"/>
    </xf>
    <xf borderId="16" fillId="5" fontId="6" numFmtId="0" xfId="0" applyAlignment="1" applyBorder="1" applyFont="1">
      <alignment horizontal="center" readingOrder="0" vertical="center"/>
    </xf>
    <xf borderId="16" fillId="6" fontId="10" numFmtId="0" xfId="0" applyAlignment="1" applyBorder="1" applyFont="1">
      <alignment horizontal="center" vertical="center"/>
    </xf>
    <xf borderId="18" fillId="6" fontId="6" numFmtId="0" xfId="0" applyAlignment="1" applyBorder="1" applyFont="1">
      <alignment horizontal="center" vertical="center"/>
    </xf>
    <xf borderId="19" fillId="6" fontId="6" numFmtId="0" xfId="0" applyAlignment="1" applyBorder="1" applyFont="1">
      <alignment horizontal="center" vertical="center"/>
    </xf>
    <xf borderId="18" fillId="5" fontId="6" numFmtId="0" xfId="0" applyAlignment="1" applyBorder="1" applyFont="1">
      <alignment horizontal="center" vertical="center"/>
    </xf>
    <xf borderId="18" fillId="6" fontId="6" numFmtId="0" xfId="0" applyAlignment="1" applyBorder="1" applyFont="1">
      <alignment horizontal="center" readingOrder="0" vertical="center"/>
    </xf>
    <xf borderId="16" fillId="6" fontId="11" numFmtId="0" xfId="0" applyAlignment="1" applyBorder="1" applyFont="1">
      <alignment horizontal="center" vertical="center"/>
    </xf>
    <xf borderId="0" fillId="0" fontId="12" numFmtId="0" xfId="0" applyFont="1"/>
    <xf borderId="20" fillId="7" fontId="1" numFmtId="0" xfId="0" applyAlignment="1" applyBorder="1" applyFill="1" applyFont="1">
      <alignment horizontal="center" vertical="center"/>
    </xf>
    <xf borderId="20" fillId="6" fontId="6" numFmtId="0" xfId="0" applyAlignment="1" applyBorder="1" applyFont="1">
      <alignment horizontal="center" vertical="center"/>
    </xf>
    <xf borderId="21" fillId="6" fontId="6" numFmtId="0" xfId="0" applyAlignment="1" applyBorder="1" applyFont="1">
      <alignment horizontal="center" vertical="center"/>
    </xf>
    <xf borderId="20" fillId="6" fontId="6" numFmtId="0" xfId="0" applyAlignment="1" applyBorder="1" applyFont="1">
      <alignment horizontal="center" readingOrder="0" vertical="center"/>
    </xf>
    <xf borderId="16" fillId="2" fontId="6" numFmtId="0" xfId="0" applyAlignment="1" applyBorder="1" applyFont="1">
      <alignment horizontal="center" vertical="center"/>
    </xf>
    <xf borderId="22" fillId="2" fontId="6" numFmtId="0" xfId="0" applyAlignment="1" applyBorder="1" applyFont="1">
      <alignment horizontal="center" vertical="center"/>
    </xf>
    <xf borderId="23" fillId="8" fontId="6" numFmtId="164" xfId="0" applyAlignment="1" applyBorder="1" applyFill="1" applyFont="1" applyNumberFormat="1">
      <alignment horizontal="center" shrinkToFit="0" vertical="top" wrapText="1"/>
    </xf>
    <xf borderId="5" fillId="2" fontId="13" numFmtId="0" xfId="0" applyAlignment="1" applyBorder="1" applyFont="1">
      <alignment horizontal="center" vertical="center"/>
    </xf>
    <xf borderId="24" fillId="3" fontId="1" numFmtId="0" xfId="0" applyAlignment="1" applyBorder="1" applyFont="1">
      <alignment horizontal="center" vertical="center"/>
    </xf>
    <xf borderId="12" fillId="4" fontId="1" numFmtId="0" xfId="0" applyAlignment="1" applyBorder="1" applyFont="1">
      <alignment horizontal="center" vertical="center"/>
    </xf>
    <xf borderId="18" fillId="2" fontId="6" numFmtId="0" xfId="0" applyAlignment="1" applyBorder="1" applyFont="1">
      <alignment horizontal="center" vertical="center"/>
    </xf>
    <xf borderId="15" fillId="2" fontId="6" numFmtId="164" xfId="0" applyAlignment="1" applyBorder="1" applyFont="1" applyNumberFormat="1">
      <alignment horizontal="center" shrinkToFit="0" vertical="top" wrapText="1"/>
    </xf>
    <xf borderId="15" fillId="0" fontId="6" numFmtId="164" xfId="0" applyAlignment="1" applyBorder="1" applyFont="1" applyNumberFormat="1">
      <alignment horizontal="center" shrinkToFit="0" vertical="top" wrapText="1"/>
    </xf>
    <xf borderId="18" fillId="2" fontId="14" numFmtId="0" xfId="0" applyAlignment="1" applyBorder="1" applyFont="1">
      <alignment horizontal="center" vertical="center"/>
    </xf>
    <xf borderId="25" fillId="2" fontId="6" numFmtId="0" xfId="0" applyAlignment="1" applyBorder="1" applyFont="1">
      <alignment horizontal="center" vertical="center"/>
    </xf>
    <xf borderId="26" fillId="2" fontId="15" numFmtId="0" xfId="0" applyAlignment="1" applyBorder="1" applyFont="1">
      <alignment horizontal="center" shrinkToFit="0" vertical="center" wrapText="1"/>
    </xf>
    <xf borderId="27" fillId="0" fontId="3" numFmtId="0" xfId="0" applyBorder="1" applyFont="1"/>
    <xf borderId="27" fillId="2" fontId="15" numFmtId="0" xfId="0" applyAlignment="1" applyBorder="1" applyFont="1">
      <alignment horizontal="center" shrinkToFit="0" vertical="center" wrapText="1"/>
    </xf>
    <xf borderId="28" fillId="2" fontId="15" numFmtId="0" xfId="0" applyAlignment="1" applyBorder="1" applyFont="1">
      <alignment horizontal="center" shrinkToFit="0" vertical="center" wrapText="1"/>
    </xf>
    <xf borderId="29" fillId="2" fontId="6" numFmtId="164" xfId="0" applyAlignment="1" applyBorder="1" applyFont="1" applyNumberFormat="1">
      <alignment horizontal="center" shrinkToFit="0" vertical="top" wrapText="1"/>
    </xf>
    <xf borderId="30" fillId="2" fontId="6" numFmtId="0" xfId="0" applyAlignment="1" applyBorder="1" applyFont="1">
      <alignment horizontal="center" vertical="center"/>
    </xf>
    <xf borderId="31" fillId="9" fontId="6" numFmtId="0" xfId="0" applyAlignment="1" applyBorder="1" applyFill="1" applyFont="1">
      <alignment horizontal="center" shrinkToFit="0" vertical="center" wrapText="1"/>
    </xf>
    <xf borderId="32" fillId="0" fontId="3" numFmtId="0" xfId="0" applyBorder="1" applyFont="1"/>
    <xf borderId="33" fillId="0" fontId="3" numFmtId="0" xfId="0" applyBorder="1" applyFont="1"/>
    <xf borderId="30" fillId="2" fontId="6" numFmtId="164" xfId="0" applyAlignment="1" applyBorder="1" applyFont="1" applyNumberFormat="1">
      <alignment horizontal="center" shrinkToFit="0" vertical="center" wrapText="1"/>
    </xf>
    <xf borderId="1" fillId="2" fontId="6" numFmtId="0" xfId="0" applyAlignment="1" applyBorder="1" applyFont="1">
      <alignment horizontal="center" vertical="top"/>
    </xf>
    <xf borderId="13" fillId="9" fontId="1" numFmtId="0" xfId="0" applyAlignment="1" applyBorder="1" applyFont="1">
      <alignment horizontal="center" vertical="center"/>
    </xf>
    <xf borderId="14" fillId="9" fontId="1" numFmtId="0" xfId="0" applyAlignment="1" applyBorder="1" applyFont="1">
      <alignment horizontal="center" vertical="center"/>
    </xf>
    <xf borderId="1" fillId="2" fontId="6" numFmtId="164" xfId="0" applyAlignment="1" applyBorder="1" applyFont="1" applyNumberFormat="1">
      <alignment horizontal="center" shrinkToFit="0" vertical="center" wrapText="1"/>
    </xf>
    <xf borderId="15" fillId="2" fontId="6" numFmtId="164" xfId="0" applyAlignment="1" applyBorder="1" applyFont="1" applyNumberFormat="1">
      <alignment shrinkToFit="0" vertical="center" wrapText="1"/>
    </xf>
    <xf borderId="20" fillId="2" fontId="6" numFmtId="164" xfId="0" applyAlignment="1" applyBorder="1" applyFont="1" applyNumberFormat="1">
      <alignment shrinkToFit="0" vertical="center" wrapText="1"/>
    </xf>
    <xf borderId="26" fillId="8" fontId="6" numFmtId="164" xfId="0" applyAlignment="1" applyBorder="1" applyFont="1" applyNumberFormat="1">
      <alignment horizontal="center" shrinkToFit="0" vertical="center" wrapText="1"/>
    </xf>
    <xf borderId="28" fillId="0" fontId="3" numFmtId="0" xfId="0" applyBorder="1" applyFont="1"/>
    <xf borderId="1" fillId="2" fontId="16" numFmtId="0" xfId="0" applyAlignment="1" applyBorder="1" applyFont="1">
      <alignment horizontal="center" vertical="center"/>
    </xf>
    <xf borderId="0" fillId="0" fontId="8" numFmtId="0" xfId="0" applyAlignment="1" applyFont="1">
      <alignment horizontal="center" vertical="top"/>
    </xf>
    <xf borderId="0" fillId="0" fontId="17" numFmtId="0" xfId="0" applyAlignment="1" applyFont="1">
      <alignment horizontal="center" readingOrder="0" vertical="center"/>
    </xf>
    <xf borderId="0" fillId="0" fontId="18" numFmtId="0" xfId="0" applyFont="1"/>
    <xf borderId="0" fillId="0" fontId="18" numFmtId="0" xfId="0" applyAlignment="1" applyFont="1">
      <alignment readingOrder="0"/>
    </xf>
    <xf borderId="34" fillId="0" fontId="19" numFmtId="0" xfId="0" applyAlignment="1" applyBorder="1" applyFont="1">
      <alignment horizontal="center"/>
    </xf>
    <xf borderId="35" fillId="0" fontId="3" numFmtId="0" xfId="0" applyBorder="1" applyFont="1"/>
    <xf borderId="36" fillId="0" fontId="3" numFmtId="0" xfId="0" applyBorder="1" applyFont="1"/>
    <xf borderId="26" fillId="7" fontId="20" numFmtId="0" xfId="0" applyAlignment="1" applyBorder="1" applyFont="1">
      <alignment horizontal="center" vertical="center"/>
    </xf>
    <xf borderId="15" fillId="2" fontId="6" numFmtId="0" xfId="0" applyAlignment="1" applyBorder="1" applyFont="1">
      <alignment horizontal="center" vertical="center"/>
    </xf>
    <xf borderId="26" fillId="2" fontId="20" numFmtId="0" xfId="0" applyAlignment="1" applyBorder="1" applyFont="1">
      <alignment horizontal="center" vertical="center"/>
    </xf>
    <xf borderId="15" fillId="2" fontId="21" numFmtId="0" xfId="0" applyAlignment="1" applyBorder="1" applyFont="1">
      <alignment horizontal="center" vertical="center"/>
    </xf>
    <xf borderId="15" fillId="3" fontId="22" numFmtId="0" xfId="0" applyAlignment="1" applyBorder="1" applyFont="1">
      <alignment horizontal="center" vertical="center"/>
    </xf>
    <xf borderId="15" fillId="10" fontId="20" numFmtId="0" xfId="0" applyAlignment="1" applyBorder="1" applyFill="1" applyFont="1">
      <alignment horizontal="center" vertical="center"/>
    </xf>
    <xf borderId="15" fillId="0" fontId="23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vertical="center"/>
    </xf>
    <xf borderId="15" fillId="2" fontId="25" numFmtId="0" xfId="0" applyAlignment="1" applyBorder="1" applyFont="1">
      <alignment horizontal="center" vertical="center"/>
    </xf>
    <xf borderId="37" fillId="0" fontId="23" numFmtId="0" xfId="0" applyAlignment="1" applyBorder="1" applyFont="1">
      <alignment horizontal="center" vertical="center"/>
    </xf>
    <xf borderId="15" fillId="3" fontId="20" numFmtId="0" xfId="0" applyAlignment="1" applyBorder="1" applyFont="1">
      <alignment horizontal="center" vertical="center"/>
    </xf>
    <xf borderId="15" fillId="2" fontId="23" numFmtId="0" xfId="0" applyAlignment="1" applyBorder="1" applyFont="1">
      <alignment horizontal="center" vertical="center"/>
    </xf>
    <xf borderId="15" fillId="0" fontId="26" numFmtId="0" xfId="0" applyAlignment="1" applyBorder="1" applyFont="1">
      <alignment horizontal="center" vertical="center"/>
    </xf>
    <xf borderId="18" fillId="2" fontId="24" numFmtId="0" xfId="0" applyAlignment="1" applyBorder="1" applyFont="1">
      <alignment horizontal="center" vertical="center"/>
    </xf>
    <xf borderId="19" fillId="2" fontId="24" numFmtId="0" xfId="0" applyAlignment="1" applyBorder="1" applyFont="1">
      <alignment horizontal="center" vertical="center"/>
    </xf>
    <xf borderId="18" fillId="2" fontId="26" numFmtId="0" xfId="0" applyAlignment="1" applyBorder="1" applyFont="1">
      <alignment horizontal="center" vertical="center"/>
    </xf>
    <xf borderId="11" fillId="2" fontId="24" numFmtId="0" xfId="0" applyAlignment="1" applyBorder="1" applyFont="1">
      <alignment horizontal="center" vertical="center"/>
    </xf>
    <xf borderId="15" fillId="2" fontId="26" numFmtId="0" xfId="0" applyAlignment="1" applyBorder="1" applyFont="1">
      <alignment horizontal="center" vertical="center"/>
    </xf>
    <xf borderId="38" fillId="0" fontId="26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center" vertical="center"/>
    </xf>
    <xf borderId="26" fillId="0" fontId="18" numFmtId="0" xfId="0" applyAlignment="1" applyBorder="1" applyFont="1">
      <alignment horizontal="center"/>
    </xf>
    <xf borderId="37" fillId="0" fontId="27" numFmtId="0" xfId="0" applyAlignment="1" applyBorder="1" applyFont="1">
      <alignment horizontal="center" vertical="center"/>
    </xf>
    <xf borderId="39" fillId="0" fontId="3" numFmtId="0" xfId="0" applyBorder="1" applyFont="1"/>
    <xf borderId="15" fillId="0" fontId="18" numFmtId="0" xfId="0" applyBorder="1" applyFont="1"/>
    <xf borderId="15" fillId="2" fontId="20" numFmtId="0" xfId="0" applyAlignment="1" applyBorder="1" applyFont="1">
      <alignment horizontal="center" vertical="center"/>
    </xf>
    <xf borderId="11" fillId="2" fontId="20" numFmtId="0" xfId="0" applyAlignment="1" applyBorder="1" applyFont="1">
      <alignment horizontal="center" vertical="center"/>
    </xf>
    <xf borderId="15" fillId="0" fontId="18" numFmtId="0" xfId="0" applyAlignment="1" applyBorder="1" applyFont="1">
      <alignment horizontal="center" vertical="center"/>
    </xf>
    <xf borderId="15" fillId="2" fontId="24" numFmtId="0" xfId="0" applyAlignment="1" applyBorder="1" applyFont="1">
      <alignment horizontal="center" shrinkToFit="0" vertical="center" wrapText="1"/>
    </xf>
    <xf borderId="11" fillId="2" fontId="24" numFmtId="0" xfId="0" applyAlignment="1" applyBorder="1" applyFont="1">
      <alignment horizontal="center" shrinkToFit="0" vertical="center" wrapText="1"/>
    </xf>
    <xf borderId="15" fillId="0" fontId="23" numFmtId="0" xfId="0" applyAlignment="1" applyBorder="1" applyFont="1">
      <alignment horizontal="center" shrinkToFit="0" vertical="center" wrapText="1"/>
    </xf>
    <xf borderId="15" fillId="0" fontId="27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/>
    </xf>
    <xf borderId="40" fillId="7" fontId="28" numFmtId="0" xfId="0" applyAlignment="1" applyBorder="1" applyFont="1">
      <alignment horizontal="center" vertical="center"/>
    </xf>
    <xf borderId="41" fillId="0" fontId="3" numFmtId="0" xfId="0" applyBorder="1" applyFont="1"/>
    <xf borderId="42" fillId="0" fontId="3" numFmtId="0" xfId="0" applyBorder="1" applyFont="1"/>
    <xf borderId="26" fillId="2" fontId="28" numFmtId="0" xfId="0" applyAlignment="1" applyBorder="1" applyFont="1">
      <alignment horizontal="center" vertical="center"/>
    </xf>
    <xf borderId="15" fillId="3" fontId="29" numFmtId="0" xfId="0" applyAlignment="1" applyBorder="1" applyFont="1">
      <alignment horizontal="center" vertical="center"/>
    </xf>
    <xf borderId="15" fillId="10" fontId="28" numFmtId="0" xfId="0" applyAlignment="1" applyBorder="1" applyFont="1">
      <alignment horizontal="center" vertical="center"/>
    </xf>
    <xf borderId="15" fillId="0" fontId="28" numFmtId="0" xfId="0" applyAlignment="1" applyBorder="1" applyFont="1">
      <alignment horizontal="center"/>
    </xf>
    <xf borderId="15" fillId="2" fontId="30" numFmtId="0" xfId="0" applyAlignment="1" applyBorder="1" applyFont="1">
      <alignment horizontal="center" vertical="center"/>
    </xf>
    <xf borderId="15" fillId="2" fontId="31" numFmtId="0" xfId="0" applyAlignment="1" applyBorder="1" applyFont="1">
      <alignment horizontal="center" vertical="center"/>
    </xf>
    <xf borderId="1" fillId="2" fontId="32" numFmtId="0" xfId="0" applyBorder="1" applyFont="1"/>
    <xf borderId="1" fillId="2" fontId="18" numFmtId="0" xfId="0" applyBorder="1" applyFont="1"/>
    <xf borderId="18" fillId="2" fontId="27" numFmtId="0" xfId="0" applyAlignment="1" applyBorder="1" applyFont="1">
      <alignment horizontal="center" vertical="center"/>
    </xf>
    <xf borderId="26" fillId="7" fontId="28" numFmtId="0" xfId="0" applyAlignment="1" applyBorder="1" applyFont="1">
      <alignment horizontal="center" vertical="center"/>
    </xf>
    <xf borderId="15" fillId="3" fontId="28" numFmtId="0" xfId="0" applyAlignment="1" applyBorder="1" applyFont="1">
      <alignment horizontal="center" vertical="center"/>
    </xf>
    <xf borderId="23" fillId="2" fontId="27" numFmtId="0" xfId="0" applyAlignment="1" applyBorder="1" applyFont="1">
      <alignment horizontal="center" vertical="center"/>
    </xf>
    <xf borderId="1" fillId="2" fontId="27" numFmtId="0" xfId="0" applyAlignment="1" applyBorder="1" applyFont="1">
      <alignment horizontal="center" vertical="center"/>
    </xf>
    <xf borderId="1" fillId="2" fontId="30" numFmtId="0" xfId="0" applyAlignment="1" applyBorder="1" applyFont="1">
      <alignment horizontal="center" vertical="center"/>
    </xf>
    <xf borderId="43" fillId="2" fontId="30" numFmtId="0" xfId="0" applyAlignment="1" applyBorder="1" applyFont="1">
      <alignment horizontal="center" vertical="center"/>
    </xf>
    <xf borderId="43" fillId="2" fontId="27" numFmtId="0" xfId="0" applyAlignment="1" applyBorder="1" applyFont="1">
      <alignment horizontal="center" vertical="center"/>
    </xf>
    <xf borderId="15" fillId="0" fontId="32" numFmtId="0" xfId="0" applyBorder="1" applyFont="1"/>
    <xf borderId="15" fillId="2" fontId="28" numFmtId="0" xfId="0" applyAlignment="1" applyBorder="1" applyFont="1">
      <alignment horizontal="center" vertical="center"/>
    </xf>
    <xf borderId="15" fillId="0" fontId="33" numFmtId="0" xfId="0" applyAlignment="1" applyBorder="1" applyFont="1">
      <alignment horizontal="center"/>
    </xf>
    <xf borderId="0" fillId="0" fontId="32" numFmtId="0" xfId="0" applyAlignment="1" applyFont="1">
      <alignment readingOrder="0"/>
    </xf>
    <xf borderId="38" fillId="0" fontId="28" numFmtId="0" xfId="0" applyAlignment="1" applyBorder="1" applyFont="1">
      <alignment horizontal="center"/>
    </xf>
    <xf borderId="44" fillId="0" fontId="3" numFmtId="0" xfId="0" applyBorder="1" applyFont="1"/>
    <xf borderId="15" fillId="6" fontId="6" numFmtId="0" xfId="0" applyAlignment="1" applyBorder="1" applyFont="1">
      <alignment horizontal="center" vertical="center"/>
    </xf>
    <xf borderId="15" fillId="6" fontId="30" numFmtId="0" xfId="0" applyAlignment="1" applyBorder="1" applyFont="1">
      <alignment horizontal="center" vertical="center"/>
    </xf>
    <xf borderId="15" fillId="6" fontId="34" numFmtId="0" xfId="0" applyAlignment="1" applyBorder="1" applyFont="1">
      <alignment horizontal="center" vertical="center"/>
    </xf>
    <xf borderId="15" fillId="6" fontId="24" numFmtId="0" xfId="0" applyAlignment="1" applyBorder="1" applyFont="1">
      <alignment horizontal="center" readingOrder="0" vertical="center"/>
    </xf>
    <xf borderId="43" fillId="2" fontId="35" numFmtId="0" xfId="0" applyAlignment="1" applyBorder="1" applyFont="1">
      <alignment horizontal="center" vertical="center"/>
    </xf>
    <xf borderId="26" fillId="0" fontId="28" numFmtId="0" xfId="0" applyAlignment="1" applyBorder="1" applyFont="1">
      <alignment horizontal="center"/>
    </xf>
    <xf borderId="34" fillId="0" fontId="36" numFmtId="0" xfId="0" applyAlignment="1" applyBorder="1" applyFont="1">
      <alignment horizontal="center" vertical="center"/>
    </xf>
    <xf borderId="45" fillId="0" fontId="3" numFmtId="0" xfId="0" applyBorder="1" applyFont="1"/>
    <xf borderId="46" fillId="0" fontId="3" numFmtId="0" xfId="0" applyBorder="1" applyFont="1"/>
    <xf borderId="31" fillId="0" fontId="3" numFmtId="0" xfId="0" applyBorder="1" applyFont="1"/>
    <xf borderId="47" fillId="11" fontId="28" numFmtId="0" xfId="0" applyAlignment="1" applyBorder="1" applyFill="1" applyFont="1">
      <alignment horizontal="center" vertical="center"/>
    </xf>
    <xf borderId="48" fillId="0" fontId="3" numFmtId="0" xfId="0" applyBorder="1" applyFont="1"/>
    <xf borderId="49" fillId="0" fontId="3" numFmtId="0" xfId="0" applyBorder="1" applyFont="1"/>
    <xf borderId="15" fillId="0" fontId="30" numFmtId="0" xfId="0" applyBorder="1" applyFont="1"/>
    <xf borderId="26" fillId="0" fontId="37" numFmtId="0" xfId="0" applyAlignment="1" applyBorder="1" applyFont="1">
      <alignment horizontal="center"/>
    </xf>
    <xf borderId="15" fillId="0" fontId="30" numFmtId="0" xfId="0" applyAlignment="1" applyBorder="1" applyFont="1">
      <alignment horizontal="center"/>
    </xf>
    <xf borderId="0" fillId="0" fontId="37" numFmtId="0" xfId="0" applyAlignment="1" applyFont="1">
      <alignment horizontal="center"/>
    </xf>
    <xf borderId="26" fillId="0" fontId="37" numFmtId="0" xfId="0" applyAlignment="1" applyBorder="1" applyFont="1">
      <alignment horizontal="center" readingOrder="0"/>
    </xf>
    <xf borderId="15" fillId="2" fontId="6" numFmtId="0" xfId="0" applyAlignment="1" applyBorder="1" applyFont="1">
      <alignment horizontal="center" shrinkToFit="0" vertical="center" wrapText="1"/>
    </xf>
    <xf borderId="18" fillId="8" fontId="30" numFmtId="0" xfId="0" applyAlignment="1" applyBorder="1" applyFont="1">
      <alignment horizontal="center"/>
    </xf>
    <xf borderId="26" fillId="11" fontId="28" numFmtId="0" xfId="0" applyAlignment="1" applyBorder="1" applyFont="1">
      <alignment horizontal="center" vertical="center"/>
    </xf>
    <xf borderId="15" fillId="0" fontId="30" numFmtId="0" xfId="0" applyAlignment="1" applyBorder="1" applyFont="1">
      <alignment horizontal="center" vertical="center"/>
    </xf>
    <xf borderId="34" fillId="0" fontId="38" numFmtId="0" xfId="0" applyAlignment="1" applyBorder="1" applyFont="1">
      <alignment horizontal="center" readingOrder="0" vertical="center"/>
    </xf>
    <xf borderId="50" fillId="2" fontId="39" numFmtId="0" xfId="0" applyAlignment="1" applyBorder="1" applyFont="1">
      <alignment horizontal="center" shrinkToFit="0" vertical="center" wrapText="1"/>
    </xf>
    <xf borderId="51" fillId="0" fontId="3" numFmtId="0" xfId="0" applyBorder="1" applyFont="1"/>
    <xf borderId="1" fillId="2" fontId="28" numFmtId="0" xfId="0" applyAlignment="1" applyBorder="1" applyFont="1">
      <alignment horizontal="center" shrinkToFit="0" vertical="center" wrapText="1"/>
    </xf>
    <xf borderId="52" fillId="10" fontId="20" numFmtId="0" xfId="0" applyAlignment="1" applyBorder="1" applyFont="1">
      <alignment horizontal="center" shrinkToFit="0" vertical="center" wrapText="1"/>
    </xf>
    <xf borderId="53" fillId="0" fontId="3" numFmtId="0" xfId="0" applyBorder="1" applyFont="1"/>
    <xf borderId="29" fillId="0" fontId="3" numFmtId="0" xfId="0" applyBorder="1" applyFont="1"/>
    <xf borderId="54" fillId="2" fontId="6" numFmtId="0" xfId="0" applyAlignment="1" applyBorder="1" applyFont="1">
      <alignment horizontal="center" shrinkToFit="0" vertical="center" wrapText="1"/>
    </xf>
    <xf borderId="26" fillId="2" fontId="28" numFmtId="0" xfId="0" applyAlignment="1" applyBorder="1" applyFont="1">
      <alignment horizontal="center" shrinkToFit="0" vertical="center" wrapText="1"/>
    </xf>
    <xf borderId="54" fillId="2" fontId="40" numFmtId="0" xfId="0" applyAlignment="1" applyBorder="1" applyFont="1">
      <alignment horizontal="center" shrinkToFit="0" vertical="center" wrapText="1"/>
    </xf>
    <xf borderId="15" fillId="3" fontId="41" numFmtId="0" xfId="0" applyAlignment="1" applyBorder="1" applyFont="1">
      <alignment horizontal="center" shrinkToFit="0" vertical="center" wrapText="1"/>
    </xf>
    <xf borderId="15" fillId="10" fontId="42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horizontal="center" shrinkToFit="0" vertical="center" wrapText="1"/>
    </xf>
    <xf borderId="15" fillId="5" fontId="30" numFmtId="0" xfId="0" applyAlignment="1" applyBorder="1" applyFont="1">
      <alignment horizontal="center" shrinkToFit="0" vertical="center" wrapText="1"/>
    </xf>
    <xf borderId="15" fillId="6" fontId="30" numFmtId="0" xfId="0" applyAlignment="1" applyBorder="1" applyFont="1">
      <alignment horizontal="center" shrinkToFit="0" vertical="center" wrapText="1"/>
    </xf>
    <xf borderId="15" fillId="6" fontId="43" numFmtId="0" xfId="0" applyAlignment="1" applyBorder="1" applyFont="1">
      <alignment horizontal="center" shrinkToFit="0" vertical="center" wrapText="1"/>
    </xf>
    <xf borderId="15" fillId="6" fontId="24" numFmtId="0" xfId="0" applyAlignment="1" applyBorder="1" applyFont="1">
      <alignment horizontal="center" readingOrder="0" shrinkToFit="0" vertical="center" wrapText="1"/>
    </xf>
    <xf borderId="15" fillId="2" fontId="30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shrinkToFit="0" vertical="center" wrapText="1"/>
    </xf>
    <xf borderId="1" fillId="2" fontId="30" numFmtId="0" xfId="0" applyAlignment="1" applyBorder="1" applyFont="1">
      <alignment horizontal="center" shrinkToFit="0" vertical="center" wrapText="1"/>
    </xf>
    <xf borderId="23" fillId="0" fontId="27" numFmtId="0" xfId="0" applyAlignment="1" applyBorder="1" applyFont="1">
      <alignment horizontal="center" vertical="center"/>
    </xf>
    <xf borderId="0" fillId="0" fontId="30" numFmtId="0" xfId="0" applyAlignment="1" applyFont="1">
      <alignment shrinkToFit="0" wrapText="1"/>
    </xf>
    <xf borderId="26" fillId="10" fontId="28" numFmtId="0" xfId="0" applyAlignment="1" applyBorder="1" applyFont="1">
      <alignment horizontal="center" shrinkToFit="0" vertical="center" wrapText="1"/>
    </xf>
    <xf borderId="15" fillId="10" fontId="44" numFmtId="0" xfId="0" applyAlignment="1" applyBorder="1" applyFont="1">
      <alignment horizontal="center" readingOrder="0" shrinkToFit="0" vertical="center" wrapText="1"/>
    </xf>
    <xf borderId="15" fillId="0" fontId="28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vertical="center" wrapText="1"/>
    </xf>
    <xf borderId="44" fillId="0" fontId="30" numFmtId="0" xfId="0" applyAlignment="1" applyBorder="1" applyFont="1">
      <alignment horizontal="center" shrinkToFit="0" vertical="center" wrapText="1"/>
    </xf>
    <xf borderId="0" fillId="0" fontId="30" numFmtId="0" xfId="0" applyAlignment="1" applyFont="1">
      <alignment horizontal="center" shrinkToFit="0" vertical="center" wrapText="1"/>
    </xf>
    <xf borderId="52" fillId="10" fontId="28" numFmtId="0" xfId="0" applyAlignment="1" applyBorder="1" applyFont="1">
      <alignment horizontal="center" shrinkToFit="0" vertical="center" wrapText="1"/>
    </xf>
    <xf borderId="15" fillId="5" fontId="24" numFmtId="0" xfId="0" applyAlignment="1" applyBorder="1" applyFont="1">
      <alignment horizontal="center" readingOrder="0" shrinkToFit="0" vertical="center" wrapText="1"/>
    </xf>
    <xf borderId="15" fillId="2" fontId="24" numFmtId="0" xfId="0" applyAlignment="1" applyBorder="1" applyFont="1">
      <alignment horizontal="center" readingOrder="0" shrinkToFit="0" vertical="center" wrapText="1"/>
    </xf>
    <xf borderId="55" fillId="0" fontId="30" numFmtId="0" xfId="0" applyAlignment="1" applyBorder="1" applyFont="1">
      <alignment horizontal="center" shrinkToFit="0" vertical="center" wrapText="1"/>
    </xf>
    <xf borderId="1" fillId="2" fontId="24" numFmtId="0" xfId="0" applyAlignment="1" applyBorder="1" applyFont="1">
      <alignment horizontal="center" readingOrder="0" shrinkToFit="0" vertical="center" wrapText="1"/>
    </xf>
    <xf borderId="17" fillId="2" fontId="6" numFmtId="0" xfId="0" applyAlignment="1" applyBorder="1" applyFont="1">
      <alignment horizontal="center" shrinkToFit="0" vertical="center" wrapText="1"/>
    </xf>
    <xf borderId="15" fillId="8" fontId="30" numFmtId="0" xfId="0" applyAlignment="1" applyBorder="1" applyFont="1">
      <alignment horizontal="center" shrinkToFit="0" vertical="center" wrapText="1"/>
    </xf>
    <xf borderId="56" fillId="10" fontId="20" numFmtId="0" xfId="0" applyAlignment="1" applyBorder="1" applyFont="1">
      <alignment horizontal="center" readingOrder="0" shrinkToFit="0" vertical="center" wrapText="1"/>
    </xf>
    <xf borderId="57" fillId="0" fontId="3" numFmtId="0" xfId="0" applyBorder="1" applyFont="1"/>
    <xf borderId="58" fillId="0" fontId="3" numFmtId="0" xfId="0" applyBorder="1" applyFont="1"/>
    <xf borderId="59" fillId="0" fontId="3" numFmtId="0" xfId="0" applyBorder="1" applyFont="1"/>
    <xf borderId="60" fillId="0" fontId="3" numFmtId="0" xfId="0" applyBorder="1" applyFont="1"/>
    <xf borderId="61" fillId="0" fontId="3" numFmtId="0" xfId="0" applyBorder="1" applyFont="1"/>
    <xf borderId="1" fillId="2" fontId="45" numFmtId="0" xfId="0" applyAlignment="1" applyBorder="1" applyFont="1">
      <alignment horizontal="center" shrinkToFit="0" vertical="center" wrapText="1"/>
    </xf>
    <xf borderId="18" fillId="8" fontId="30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center" shrinkToFit="0" vertical="center" wrapText="1"/>
    </xf>
    <xf borderId="62" fillId="10" fontId="20" numFmtId="0" xfId="0" applyAlignment="1" applyBorder="1" applyFont="1">
      <alignment horizontal="center" readingOrder="0" shrinkToFit="0" vertical="center" wrapText="1"/>
    </xf>
    <xf borderId="63" fillId="2" fontId="28" numFmtId="0" xfId="0" applyAlignment="1" applyBorder="1" applyFont="1">
      <alignment horizontal="center" shrinkToFit="0" vertical="center" wrapText="1"/>
    </xf>
    <xf borderId="26" fillId="2" fontId="20" numFmtId="0" xfId="0" applyAlignment="1" applyBorder="1" applyFont="1">
      <alignment horizontal="center" readingOrder="0" shrinkToFit="0" vertical="center" wrapText="1"/>
    </xf>
    <xf borderId="17" fillId="2" fontId="46" numFmtId="0" xfId="0" applyAlignment="1" applyBorder="1" applyFont="1">
      <alignment horizontal="center" readingOrder="0" shrinkToFit="0" vertical="center" wrapText="1"/>
    </xf>
    <xf borderId="15" fillId="3" fontId="47" numFmtId="0" xfId="0" applyAlignment="1" applyBorder="1" applyFont="1">
      <alignment horizontal="center" readingOrder="0" shrinkToFit="0" vertical="center" wrapText="1"/>
    </xf>
    <xf borderId="15" fillId="5" fontId="48" numFmtId="0" xfId="0" applyAlignment="1" applyBorder="1" applyFont="1">
      <alignment horizontal="center" shrinkToFit="0" vertical="center" wrapText="1"/>
    </xf>
    <xf borderId="11" fillId="5" fontId="30" numFmtId="0" xfId="0" applyAlignment="1" applyBorder="1" applyFont="1">
      <alignment horizontal="center" shrinkToFit="0" vertical="center" wrapText="1"/>
    </xf>
    <xf borderId="11" fillId="5" fontId="24" numFmtId="0" xfId="0" applyAlignment="1" applyBorder="1" applyFont="1">
      <alignment horizontal="center" readingOrder="0" shrinkToFit="0" vertical="center" wrapText="1"/>
    </xf>
    <xf borderId="15" fillId="5" fontId="24" numFmtId="49" xfId="0" applyAlignment="1" applyBorder="1" applyFont="1" applyNumberFormat="1">
      <alignment horizontal="center" readingOrder="0" shrinkToFit="0" vertical="center" wrapText="1"/>
    </xf>
    <xf borderId="11" fillId="5" fontId="49" numFmtId="0" xfId="0" applyAlignment="1" applyBorder="1" applyFont="1">
      <alignment horizontal="center" shrinkToFit="0" vertical="center" wrapText="1"/>
    </xf>
    <xf borderId="15" fillId="5" fontId="30" numFmtId="1" xfId="0" applyAlignment="1" applyBorder="1" applyFont="1" applyNumberFormat="1">
      <alignment horizontal="center" shrinkToFit="0" vertical="center" wrapText="1"/>
    </xf>
    <xf borderId="15" fillId="5" fontId="50" numFmtId="0" xfId="0" applyAlignment="1" applyBorder="1" applyFont="1">
      <alignment horizontal="center" shrinkToFit="0" vertical="center" wrapText="1"/>
    </xf>
    <xf borderId="11" fillId="6" fontId="30" numFmtId="0" xfId="0" applyAlignment="1" applyBorder="1" applyFont="1">
      <alignment horizontal="center" shrinkToFit="0" vertical="center" wrapText="1"/>
    </xf>
    <xf borderId="15" fillId="5" fontId="24" numFmtId="0" xfId="0" applyAlignment="1" applyBorder="1" applyFont="1">
      <alignment horizontal="center" shrinkToFit="0" vertical="center" wrapText="1"/>
    </xf>
    <xf borderId="15" fillId="2" fontId="6" numFmtId="0" xfId="0" applyAlignment="1" applyBorder="1" applyFont="1">
      <alignment horizontal="center" readingOrder="0" shrinkToFit="0" vertical="center" wrapText="1"/>
    </xf>
    <xf borderId="26" fillId="6" fontId="30" numFmtId="0" xfId="0" applyAlignment="1" applyBorder="1" applyFont="1">
      <alignment horizontal="center" shrinkToFit="0" vertical="center" wrapText="1"/>
    </xf>
    <xf borderId="26" fillId="6" fontId="24" numFmtId="0" xfId="0" applyAlignment="1" applyBorder="1" applyFont="1">
      <alignment horizontal="center" readingOrder="0" shrinkToFit="0" vertical="center" wrapText="1"/>
    </xf>
    <xf borderId="38" fillId="2" fontId="30" numFmtId="0" xfId="0" applyAlignment="1" applyBorder="1" applyFont="1">
      <alignment horizontal="center" shrinkToFit="0" vertical="center" wrapText="1"/>
    </xf>
    <xf borderId="64" fillId="2" fontId="6" numFmtId="0" xfId="0" applyAlignment="1" applyBorder="1" applyFont="1">
      <alignment horizontal="center" shrinkToFit="0" vertical="center" wrapText="1"/>
    </xf>
    <xf borderId="29" fillId="2" fontId="18" numFmtId="0" xfId="0" applyBorder="1" applyFont="1"/>
    <xf borderId="30" fillId="2" fontId="6" numFmtId="0" xfId="0" applyAlignment="1" applyBorder="1" applyFont="1">
      <alignment horizontal="center" shrinkToFit="0" vertical="center" wrapText="1"/>
    </xf>
    <xf borderId="30" fillId="2" fontId="30" numFmtId="0" xfId="0" applyAlignment="1" applyBorder="1" applyFont="1">
      <alignment horizontal="center" shrinkToFit="0" vertical="center" wrapText="1"/>
    </xf>
    <xf borderId="30" fillId="2" fontId="24" numFmtId="0" xfId="0" applyAlignment="1" applyBorder="1" applyFont="1">
      <alignment horizontal="center" readingOrder="0" shrinkToFit="0" vertical="center" wrapText="1"/>
    </xf>
    <xf borderId="30" fillId="6" fontId="30" numFmtId="0" xfId="0" applyAlignment="1" applyBorder="1" applyFont="1">
      <alignment horizontal="center" shrinkToFit="0" vertical="center" wrapText="1"/>
    </xf>
    <xf borderId="37" fillId="2" fontId="51" numFmtId="0" xfId="0" applyAlignment="1" applyBorder="1" applyFont="1">
      <alignment horizontal="center" shrinkToFit="0" vertical="center" wrapText="1"/>
    </xf>
    <xf borderId="26" fillId="10" fontId="20" numFmtId="0" xfId="0" applyAlignment="1" applyBorder="1" applyFont="1">
      <alignment horizontal="center" readingOrder="0" shrinkToFit="0" vertical="center" wrapText="1"/>
    </xf>
    <xf borderId="38" fillId="0" fontId="30" numFmtId="0" xfId="0" applyAlignment="1" applyBorder="1" applyFont="1">
      <alignment horizontal="center" shrinkToFit="0" vertical="center" wrapText="1"/>
    </xf>
    <xf borderId="23" fillId="0" fontId="52" numFmtId="0" xfId="0" applyAlignment="1" applyBorder="1" applyFont="1">
      <alignment horizontal="center" vertical="center"/>
    </xf>
    <xf borderId="52" fillId="10" fontId="20" numFmtId="0" xfId="0" applyAlignment="1" applyBorder="1" applyFont="1">
      <alignment horizontal="center" readingOrder="0" shrinkToFit="0" vertical="center" wrapText="1"/>
    </xf>
    <xf borderId="65" fillId="2" fontId="6" numFmtId="0" xfId="0" applyAlignment="1" applyBorder="1" applyFont="1">
      <alignment horizontal="center" shrinkToFit="0" vertical="center" wrapText="1"/>
    </xf>
    <xf borderId="18" fillId="3" fontId="53" numFmtId="0" xfId="0" applyAlignment="1" applyBorder="1" applyFont="1">
      <alignment horizontal="center" shrinkToFit="0" vertical="center" wrapText="1"/>
    </xf>
    <xf borderId="18" fillId="10" fontId="28" numFmtId="0" xfId="0" applyAlignment="1" applyBorder="1" applyFont="1">
      <alignment horizontal="center" shrinkToFit="0" vertical="center" wrapText="1"/>
    </xf>
    <xf borderId="18" fillId="10" fontId="20" numFmtId="0" xfId="0" applyAlignment="1" applyBorder="1" applyFont="1">
      <alignment horizontal="center" readingOrder="0" shrinkToFit="0" vertical="center" wrapText="1"/>
    </xf>
    <xf borderId="15" fillId="0" fontId="54" numFmtId="0" xfId="0" applyAlignment="1" applyBorder="1" applyFont="1">
      <alignment horizontal="center" shrinkToFit="0" vertical="center" wrapText="1"/>
    </xf>
    <xf borderId="66" fillId="0" fontId="3" numFmtId="0" xfId="0" applyBorder="1" applyFont="1"/>
    <xf borderId="26" fillId="11" fontId="20" numFmtId="0" xfId="0" applyAlignment="1" applyBorder="1" applyFont="1">
      <alignment horizontal="center" readingOrder="0" shrinkToFit="0" vertical="center" wrapText="1"/>
    </xf>
    <xf borderId="67" fillId="2" fontId="6" numFmtId="0" xfId="0" applyAlignment="1" applyBorder="1" applyFont="1">
      <alignment horizontal="center" shrinkToFit="0" vertical="center" wrapText="1"/>
    </xf>
    <xf borderId="64" fillId="0" fontId="3" numFmtId="0" xfId="0" applyBorder="1" applyFont="1"/>
    <xf borderId="15" fillId="2" fontId="55" numFmtId="0" xfId="0" applyAlignment="1" applyBorder="1" applyFont="1">
      <alignment horizontal="center" shrinkToFit="0" vertical="center" wrapText="1"/>
    </xf>
    <xf borderId="68" fillId="0" fontId="3" numFmtId="0" xfId="0" applyBorder="1" applyFont="1"/>
    <xf borderId="52" fillId="11" fontId="20" numFmtId="0" xfId="0" applyAlignment="1" applyBorder="1" applyFont="1">
      <alignment horizontal="center" readingOrder="0" shrinkToFit="0" vertical="center" wrapText="1"/>
    </xf>
    <xf borderId="69" fillId="0" fontId="24" numFmtId="0" xfId="0" applyAlignment="1" applyBorder="1" applyFont="1">
      <alignment horizontal="center" readingOrder="0" shrinkToFit="0" vertical="center" wrapText="1"/>
    </xf>
    <xf borderId="70" fillId="0" fontId="3" numFmtId="0" xfId="0" applyBorder="1" applyFont="1"/>
    <xf borderId="15" fillId="2" fontId="28" numFmtId="0" xfId="0" applyAlignment="1" applyBorder="1" applyFont="1">
      <alignment horizontal="center" shrinkToFit="0" vertical="center" wrapText="1"/>
    </xf>
    <xf borderId="11" fillId="2" fontId="28" numFmtId="0" xfId="0" applyAlignment="1" applyBorder="1" applyFont="1">
      <alignment horizontal="center" shrinkToFit="0" vertical="center" wrapText="1"/>
    </xf>
    <xf borderId="38" fillId="0" fontId="54" numFmtId="0" xfId="0" applyAlignment="1" applyBorder="1" applyFont="1">
      <alignment horizontal="center" shrinkToFit="0" vertical="center" wrapText="1"/>
    </xf>
    <xf borderId="11" fillId="2" fontId="30" numFmtId="0" xfId="0" applyAlignment="1" applyBorder="1" applyFont="1">
      <alignment horizontal="center" shrinkToFit="0" vertical="center" wrapText="1"/>
    </xf>
    <xf borderId="0" fillId="0" fontId="23" numFmtId="0" xfId="0" applyAlignment="1" applyFont="1">
      <alignment horizontal="center" vertical="center"/>
    </xf>
    <xf borderId="26" fillId="2" fontId="19" numFmtId="0" xfId="0" applyAlignment="1" applyBorder="1" applyFont="1">
      <alignment horizontal="center" shrinkToFit="0" vertical="center" wrapText="1"/>
    </xf>
    <xf borderId="1" fillId="2" fontId="19" numFmtId="0" xfId="0" applyAlignment="1" applyBorder="1" applyFont="1">
      <alignment horizontal="center" shrinkToFit="0" vertical="center" wrapText="1"/>
    </xf>
    <xf borderId="26" fillId="2" fontId="30" numFmtId="0" xfId="0" applyAlignment="1" applyBorder="1" applyFont="1">
      <alignment horizontal="center" shrinkToFit="0" vertical="center" wrapText="1"/>
    </xf>
    <xf borderId="26" fillId="2" fontId="20" numFmtId="0" xfId="0" applyAlignment="1" applyBorder="1" applyFont="1">
      <alignment horizontal="center" shrinkToFit="0" vertical="center" wrapText="1"/>
    </xf>
    <xf borderId="71" fillId="2" fontId="6" numFmtId="0" xfId="0" applyAlignment="1" applyBorder="1" applyFont="1">
      <alignment horizontal="center" shrinkToFit="0" vertical="center" wrapText="1"/>
    </xf>
    <xf borderId="15" fillId="2" fontId="56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center" readingOrder="0" shrinkToFit="0" vertical="center" wrapText="1"/>
    </xf>
    <xf borderId="11" fillId="2" fontId="56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shrinkToFit="0" wrapText="1"/>
    </xf>
    <xf borderId="26" fillId="0" fontId="30" numFmtId="0" xfId="0" applyAlignment="1" applyBorder="1" applyFont="1">
      <alignment horizontal="center" shrinkToFit="0" vertical="center" wrapText="1"/>
    </xf>
    <xf borderId="15" fillId="3" fontId="57" numFmtId="0" xfId="0" applyAlignment="1" applyBorder="1" applyFont="1">
      <alignment horizontal="center" shrinkToFit="0" vertical="center" wrapText="1"/>
    </xf>
    <xf borderId="15" fillId="10" fontId="28" numFmtId="0" xfId="0" applyAlignment="1" applyBorder="1" applyFont="1">
      <alignment horizontal="center" shrinkToFit="0" vertical="center" wrapText="1"/>
    </xf>
    <xf borderId="15" fillId="2" fontId="58" numFmtId="0" xfId="0" applyAlignment="1" applyBorder="1" applyFont="1">
      <alignment horizontal="center" shrinkToFit="0" vertical="center" wrapText="1"/>
    </xf>
    <xf borderId="0" fillId="0" fontId="32" numFmtId="0" xfId="0" applyAlignment="1" applyFont="1">
      <alignment horizontal="left" shrinkToFit="0" wrapText="1"/>
    </xf>
    <xf borderId="26" fillId="10" fontId="20" numFmtId="0" xfId="0" applyAlignment="1" applyBorder="1" applyFont="1">
      <alignment horizontal="center" shrinkToFit="0" wrapText="1"/>
    </xf>
    <xf borderId="38" fillId="0" fontId="32" numFmtId="0" xfId="0" applyAlignment="1" applyBorder="1" applyFont="1">
      <alignment horizontal="center" shrinkToFit="0" wrapText="1"/>
    </xf>
    <xf borderId="17" fillId="2" fontId="56" numFmtId="0" xfId="0" applyAlignment="1" applyBorder="1" applyFont="1">
      <alignment horizontal="center" shrinkToFit="0" vertical="center" wrapText="1"/>
    </xf>
    <xf borderId="38" fillId="0" fontId="28" numFmtId="0" xfId="0" applyAlignment="1" applyBorder="1" applyFont="1">
      <alignment horizontal="center" shrinkToFit="0" vertical="center" wrapText="1"/>
    </xf>
    <xf borderId="17" fillId="2" fontId="30" numFmtId="0" xfId="0" applyAlignment="1" applyBorder="1" applyFont="1">
      <alignment horizontal="center" shrinkToFit="0" vertical="center" wrapText="1"/>
    </xf>
    <xf borderId="15" fillId="0" fontId="30" numFmtId="0" xfId="0" applyAlignment="1" applyBorder="1" applyFont="1">
      <alignment horizontal="center" shrinkToFit="0" wrapText="1"/>
    </xf>
    <xf borderId="0" fillId="0" fontId="32" numFmtId="0" xfId="0" applyAlignment="1" applyFont="1">
      <alignment readingOrder="0" shrinkToFit="0" wrapText="1"/>
    </xf>
    <xf borderId="0" fillId="0" fontId="30" numFmtId="0" xfId="0" applyAlignment="1" applyFont="1">
      <alignment horizontal="center" shrinkToFit="0" wrapText="1"/>
    </xf>
    <xf borderId="62" fillId="6" fontId="20" numFmtId="0" xfId="0" applyAlignment="1" applyBorder="1" applyFont="1">
      <alignment horizontal="center" readingOrder="0" shrinkToFit="0" vertical="center" wrapText="1"/>
    </xf>
    <xf borderId="17" fillId="2" fontId="46" numFmtId="0" xfId="0" applyAlignment="1" applyBorder="1" applyFont="1">
      <alignment horizontal="center" shrinkToFit="0" vertical="center" wrapText="1"/>
    </xf>
    <xf borderId="15" fillId="6" fontId="59" numFmtId="0" xfId="0" applyAlignment="1" applyBorder="1" applyFont="1">
      <alignment horizontal="center" readingOrder="0" shrinkToFit="0" vertical="center" wrapText="1"/>
    </xf>
    <xf borderId="15" fillId="5" fontId="60" numFmtId="0" xfId="0" applyAlignment="1" applyBorder="1" applyFont="1">
      <alignment horizontal="center" readingOrder="0" shrinkToFit="0" vertical="center" wrapText="1"/>
    </xf>
    <xf borderId="11" fillId="6" fontId="24" numFmtId="0" xfId="0" applyAlignment="1" applyBorder="1" applyFont="1">
      <alignment horizontal="center" readingOrder="0" shrinkToFit="0" vertical="center" wrapText="1"/>
    </xf>
    <xf borderId="26" fillId="10" fontId="20" numFmtId="0" xfId="0" applyAlignment="1" applyBorder="1" applyFont="1">
      <alignment horizontal="center" readingOrder="0" shrinkToFit="0" wrapText="1"/>
    </xf>
    <xf borderId="17" fillId="2" fontId="1" numFmtId="0" xfId="0" applyAlignment="1" applyBorder="1" applyFont="1">
      <alignment horizontal="center" readingOrder="0" shrinkToFit="0" vertical="center" wrapText="1"/>
    </xf>
    <xf borderId="11" fillId="2" fontId="1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readingOrder="0"/>
    </xf>
    <xf borderId="0" fillId="0" fontId="61" numFmtId="0" xfId="0" applyFont="1"/>
    <xf borderId="0" fillId="0" fontId="8" numFmtId="0" xfId="0" applyAlignment="1" applyFont="1">
      <alignment horizontal="center" vertical="center"/>
    </xf>
    <xf borderId="26" fillId="11" fontId="56" numFmtId="0" xfId="0" applyAlignment="1" applyBorder="1" applyFont="1">
      <alignment horizontal="center" vertical="center"/>
    </xf>
    <xf borderId="17" fillId="2" fontId="6" numFmtId="0" xfId="0" applyAlignment="1" applyBorder="1" applyFont="1">
      <alignment horizontal="center" vertical="center"/>
    </xf>
    <xf borderId="26" fillId="2" fontId="56" numFmtId="0" xfId="0" applyAlignment="1" applyBorder="1" applyFont="1">
      <alignment horizontal="center" vertical="center"/>
    </xf>
    <xf borderId="15" fillId="0" fontId="61" numFmtId="0" xfId="0" applyBorder="1" applyFont="1"/>
    <xf borderId="15" fillId="2" fontId="61" numFmtId="0" xfId="0" applyAlignment="1" applyBorder="1" applyFont="1">
      <alignment horizontal="center" vertical="center"/>
    </xf>
    <xf borderId="11" fillId="2" fontId="61" numFmtId="0" xfId="0" applyAlignment="1" applyBorder="1" applyFont="1">
      <alignment horizontal="center" vertical="center"/>
    </xf>
    <xf borderId="15" fillId="2" fontId="56" numFmtId="0" xfId="0" applyAlignment="1" applyBorder="1" applyFont="1">
      <alignment horizontal="center" vertical="center"/>
    </xf>
    <xf borderId="11" fillId="2" fontId="56" numFmtId="0" xfId="0" applyAlignment="1" applyBorder="1" applyFont="1">
      <alignment horizontal="center" vertical="center"/>
    </xf>
    <xf borderId="15" fillId="0" fontId="56" numFmtId="0" xfId="0" applyAlignment="1" applyBorder="1" applyFont="1">
      <alignment horizontal="center"/>
    </xf>
    <xf borderId="15" fillId="0" fontId="61" numFmtId="0" xfId="0" applyAlignment="1" applyBorder="1" applyFont="1">
      <alignment horizontal="center"/>
    </xf>
    <xf borderId="1" fillId="2" fontId="61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/>
    </xf>
    <xf borderId="15" fillId="2" fontId="62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 vertical="center"/>
    </xf>
    <xf borderId="15" fillId="8" fontId="63" numFmtId="0" xfId="0" applyAlignment="1" applyBorder="1" applyFont="1">
      <alignment horizontal="center" vertical="center"/>
    </xf>
    <xf borderId="1" fillId="2" fontId="64" numFmtId="0" xfId="0" applyAlignment="1" applyBorder="1" applyFont="1">
      <alignment horizontal="center" vertical="center"/>
    </xf>
    <xf borderId="15" fillId="8" fontId="61" numFmtId="0" xfId="0" applyAlignment="1" applyBorder="1" applyFont="1">
      <alignment horizontal="center" shrinkToFit="0" vertical="center" wrapText="1"/>
    </xf>
    <xf borderId="0" fillId="0" fontId="61" numFmtId="0" xfId="0" applyAlignment="1" applyFont="1">
      <alignment horizontal="center"/>
    </xf>
    <xf borderId="72" fillId="8" fontId="61" numFmtId="0" xfId="0" applyAlignment="1" applyBorder="1" applyFont="1">
      <alignment horizontal="center" vertical="center"/>
    </xf>
    <xf borderId="1" fillId="8" fontId="7" numFmtId="0" xfId="0" applyAlignment="1" applyBorder="1" applyFont="1">
      <alignment horizontal="center"/>
    </xf>
    <xf borderId="15" fillId="2" fontId="6" numFmtId="0" xfId="0" applyAlignment="1" applyBorder="1" applyFont="1">
      <alignment horizontal="center" readingOrder="0" vertical="center"/>
    </xf>
    <xf borderId="72" fillId="2" fontId="6" numFmtId="0" xfId="0" applyAlignment="1" applyBorder="1" applyFont="1">
      <alignment horizontal="center" vertical="center"/>
    </xf>
    <xf borderId="26" fillId="7" fontId="56" numFmtId="0" xfId="0" applyAlignment="1" applyBorder="1" applyFont="1">
      <alignment horizontal="center" vertical="center"/>
    </xf>
    <xf borderId="15" fillId="0" fontId="8" numFmtId="0" xfId="0" applyBorder="1" applyFont="1"/>
    <xf borderId="26" fillId="0" fontId="8" numFmtId="0" xfId="0" applyBorder="1" applyFont="1"/>
    <xf borderId="26" fillId="0" fontId="56" numFmtId="0" xfId="0" applyAlignment="1" applyBorder="1" applyFont="1">
      <alignment horizontal="center"/>
    </xf>
    <xf borderId="15" fillId="6" fontId="61" numFmtId="0" xfId="0" applyAlignment="1" applyBorder="1" applyFont="1">
      <alignment horizontal="center" vertical="center"/>
    </xf>
    <xf borderId="26" fillId="10" fontId="20" numFmtId="0" xfId="0" applyAlignment="1" applyBorder="1" applyFont="1">
      <alignment horizontal="center" readingOrder="0" vertical="center"/>
    </xf>
    <xf borderId="1" fillId="2" fontId="18" numFmtId="0" xfId="0" applyAlignment="1" applyBorder="1" applyFont="1">
      <alignment horizontal="center" vertical="center"/>
    </xf>
    <xf borderId="1" fillId="2" fontId="65" numFmtId="0" xfId="0" applyAlignment="1" applyBorder="1" applyFont="1">
      <alignment horizontal="center" vertical="center"/>
    </xf>
    <xf borderId="1" fillId="2" fontId="24" numFmtId="164" xfId="0" applyAlignment="1" applyBorder="1" applyFont="1" applyNumberFormat="1">
      <alignment horizontal="center" shrinkToFit="0" vertical="center" wrapText="1"/>
    </xf>
    <xf borderId="15" fillId="0" fontId="28" numFmtId="0" xfId="0" applyAlignment="1" applyBorder="1" applyFont="1">
      <alignment horizontal="center" vertical="center"/>
    </xf>
    <xf borderId="1" fillId="6" fontId="20" numFmtId="0" xfId="0" applyAlignment="1" applyBorder="1" applyFont="1">
      <alignment horizontal="center" shrinkToFit="0" vertical="center" wrapText="1"/>
    </xf>
    <xf borderId="71" fillId="10" fontId="20" numFmtId="0" xfId="0" applyAlignment="1" applyBorder="1" applyFont="1">
      <alignment horizontal="center" shrinkToFit="0" vertical="center" wrapText="1"/>
    </xf>
    <xf borderId="5" fillId="2" fontId="65" numFmtId="0" xfId="0" applyAlignment="1" applyBorder="1" applyFont="1">
      <alignment horizontal="center" vertical="center"/>
    </xf>
    <xf borderId="8" fillId="3" fontId="66" numFmtId="0" xfId="0" applyAlignment="1" applyBorder="1" applyFont="1">
      <alignment horizontal="center" vertical="center"/>
    </xf>
    <xf borderId="8" fillId="4" fontId="66" numFmtId="0" xfId="0" applyAlignment="1" applyBorder="1" applyFont="1">
      <alignment horizontal="center" shrinkToFit="0" vertical="center" wrapText="1"/>
    </xf>
    <xf borderId="11" fillId="2" fontId="18" numFmtId="0" xfId="0" applyAlignment="1" applyBorder="1" applyFont="1">
      <alignment horizontal="center" vertical="center"/>
    </xf>
    <xf borderId="12" fillId="3" fontId="67" numFmtId="0" xfId="0" applyAlignment="1" applyBorder="1" applyFont="1">
      <alignment horizontal="center" vertical="center"/>
    </xf>
    <xf borderId="13" fillId="3" fontId="67" numFmtId="0" xfId="0" applyAlignment="1" applyBorder="1" applyFont="1">
      <alignment horizontal="center" vertical="center"/>
    </xf>
    <xf borderId="13" fillId="4" fontId="67" numFmtId="0" xfId="0" applyAlignment="1" applyBorder="1" applyFont="1">
      <alignment horizontal="center" vertical="center"/>
    </xf>
    <xf borderId="14" fillId="4" fontId="67" numFmtId="0" xfId="0" applyAlignment="1" applyBorder="1" applyFont="1">
      <alignment horizontal="center" vertical="center"/>
    </xf>
    <xf borderId="17" fillId="2" fontId="46" numFmtId="0" xfId="0" applyAlignment="1" applyBorder="1" applyFont="1">
      <alignment horizontal="center" vertical="center"/>
    </xf>
    <xf borderId="15" fillId="2" fontId="67" numFmtId="0" xfId="0" applyAlignment="1" applyBorder="1" applyFont="1">
      <alignment horizontal="center" vertical="center"/>
    </xf>
    <xf borderId="16" fillId="8" fontId="24" numFmtId="0" xfId="0" applyAlignment="1" applyBorder="1" applyFont="1">
      <alignment horizontal="center" vertical="center"/>
    </xf>
    <xf borderId="17" fillId="2" fontId="24" numFmtId="164" xfId="0" applyAlignment="1" applyBorder="1" applyFont="1" applyNumberFormat="1">
      <alignment shrinkToFit="0" vertical="center" wrapText="1"/>
    </xf>
    <xf borderId="15" fillId="8" fontId="30" numFmtId="0" xfId="0" applyAlignment="1" applyBorder="1" applyFont="1">
      <alignment horizontal="center" vertical="center"/>
    </xf>
    <xf borderId="15" fillId="8" fontId="68" numFmtId="0" xfId="0" applyAlignment="1" applyBorder="1" applyFont="1">
      <alignment horizontal="center" vertical="center"/>
    </xf>
    <xf borderId="16" fillId="2" fontId="24" numFmtId="0" xfId="0" applyAlignment="1" applyBorder="1" applyFont="1">
      <alignment horizontal="center" vertical="center"/>
    </xf>
    <xf borderId="16" fillId="8" fontId="69" numFmtId="0" xfId="0" applyAlignment="1" applyBorder="1" applyFont="1">
      <alignment horizontal="center" vertical="center"/>
    </xf>
    <xf borderId="16" fillId="8" fontId="70" numFmtId="0" xfId="0" applyAlignment="1" applyBorder="1" applyFont="1">
      <alignment horizontal="center" vertical="center"/>
    </xf>
    <xf borderId="18" fillId="6" fontId="24" numFmtId="0" xfId="0" applyAlignment="1" applyBorder="1" applyFont="1">
      <alignment horizontal="center" vertical="center"/>
    </xf>
    <xf borderId="19" fillId="6" fontId="24" numFmtId="0" xfId="0" applyAlignment="1" applyBorder="1" applyFont="1">
      <alignment horizontal="center" vertical="center"/>
    </xf>
    <xf borderId="16" fillId="6" fontId="24" numFmtId="0" xfId="0" applyAlignment="1" applyBorder="1" applyFont="1">
      <alignment horizontal="center" vertical="center"/>
    </xf>
    <xf borderId="15" fillId="8" fontId="24" numFmtId="0" xfId="0" applyAlignment="1" applyBorder="1" applyFont="1">
      <alignment horizontal="center" readingOrder="0" vertical="center"/>
    </xf>
    <xf borderId="1" fillId="8" fontId="30" numFmtId="0" xfId="0" applyAlignment="1" applyBorder="1" applyFont="1">
      <alignment horizontal="center" vertical="center"/>
    </xf>
    <xf borderId="63" fillId="2" fontId="28" numFmtId="0" xfId="0" applyAlignment="1" applyBorder="1" applyFont="1">
      <alignment shrinkToFit="0" vertical="center" wrapText="1"/>
    </xf>
    <xf borderId="16" fillId="2" fontId="71" numFmtId="0" xfId="0" applyAlignment="1" applyBorder="1" applyFont="1">
      <alignment horizontal="center" vertical="center"/>
    </xf>
    <xf borderId="11" fillId="2" fontId="30" numFmtId="0" xfId="0" applyAlignment="1" applyBorder="1" applyFont="1">
      <alignment horizontal="center" vertical="center"/>
    </xf>
    <xf borderId="11" fillId="2" fontId="28" numFmtId="0" xfId="0" applyAlignment="1" applyBorder="1" applyFont="1">
      <alignment horizontal="center" vertical="center"/>
    </xf>
    <xf borderId="11" fillId="8" fontId="30" numFmtId="0" xfId="0" applyAlignment="1" applyBorder="1" applyFont="1">
      <alignment horizontal="center" vertical="center"/>
    </xf>
    <xf borderId="20" fillId="7" fontId="67" numFmtId="0" xfId="0" applyAlignment="1" applyBorder="1" applyFont="1">
      <alignment horizontal="center" vertical="center"/>
    </xf>
    <xf borderId="20" fillId="6" fontId="24" numFmtId="0" xfId="0" applyAlignment="1" applyBorder="1" applyFont="1">
      <alignment horizontal="center" vertical="center"/>
    </xf>
    <xf borderId="21" fillId="6" fontId="24" numFmtId="0" xfId="0" applyAlignment="1" applyBorder="1" applyFont="1">
      <alignment horizontal="center" vertical="center"/>
    </xf>
    <xf borderId="22" fillId="2" fontId="18" numFmtId="0" xfId="0" applyAlignment="1" applyBorder="1" applyFont="1">
      <alignment horizontal="center" vertical="center"/>
    </xf>
    <xf borderId="23" fillId="8" fontId="27" numFmtId="164" xfId="0" applyAlignment="1" applyBorder="1" applyFont="1" applyNumberFormat="1">
      <alignment horizontal="center" shrinkToFit="0" vertical="center" wrapText="1"/>
    </xf>
    <xf borderId="8" fillId="4" fontId="18" numFmtId="0" xfId="0" applyAlignment="1" applyBorder="1" applyFont="1">
      <alignment horizontal="center" shrinkToFit="0" vertical="center" wrapText="1"/>
    </xf>
    <xf borderId="11" fillId="6" fontId="30" numFmtId="0" xfId="0" applyAlignment="1" applyBorder="1" applyFont="1">
      <alignment horizontal="center" vertical="center"/>
    </xf>
    <xf borderId="18" fillId="2" fontId="18" numFmtId="0" xfId="0" applyAlignment="1" applyBorder="1" applyFont="1">
      <alignment horizontal="center" vertical="center"/>
    </xf>
    <xf borderId="15" fillId="2" fontId="24" numFmtId="164" xfId="0" applyAlignment="1" applyBorder="1" applyFont="1" applyNumberFormat="1">
      <alignment shrinkToFit="0" vertical="center" wrapText="1"/>
    </xf>
    <xf borderId="15" fillId="0" fontId="24" numFmtId="164" xfId="0" applyAlignment="1" applyBorder="1" applyFont="1" applyNumberFormat="1">
      <alignment shrinkToFit="0" vertical="center" wrapText="1"/>
    </xf>
    <xf borderId="50" fillId="2" fontId="39" numFmtId="0" xfId="0" applyAlignment="1" applyBorder="1" applyFont="1">
      <alignment horizontal="center" vertical="center"/>
    </xf>
    <xf borderId="1" fillId="2" fontId="28" numFmtId="0" xfId="0" applyAlignment="1" applyBorder="1" applyFont="1">
      <alignment horizontal="center" vertical="center"/>
    </xf>
    <xf borderId="47" fillId="10" fontId="20" numFmtId="0" xfId="0" applyAlignment="1" applyBorder="1" applyFont="1">
      <alignment horizontal="center" vertical="center"/>
    </xf>
    <xf borderId="18" fillId="2" fontId="72" numFmtId="0" xfId="0" applyAlignment="1" applyBorder="1" applyFont="1">
      <alignment horizontal="center" vertical="center"/>
    </xf>
    <xf borderId="23" fillId="8" fontId="23" numFmtId="164" xfId="0" applyAlignment="1" applyBorder="1" applyFont="1" applyNumberFormat="1">
      <alignment horizontal="center" shrinkToFit="0" vertical="center" wrapText="1"/>
    </xf>
    <xf borderId="17" fillId="2" fontId="73" numFmtId="0" xfId="0" applyAlignment="1" applyBorder="1" applyFont="1">
      <alignment horizontal="center" vertical="center"/>
    </xf>
    <xf borderId="15" fillId="2" fontId="74" numFmtId="0" xfId="0" applyAlignment="1" applyBorder="1" applyFont="1">
      <alignment horizontal="center" vertical="center"/>
    </xf>
    <xf borderId="11" fillId="2" fontId="75" numFmtId="0" xfId="0" applyAlignment="1" applyBorder="1" applyFont="1">
      <alignment horizontal="center" vertical="center"/>
    </xf>
    <xf borderId="15" fillId="0" fontId="76" numFmtId="0" xfId="0" applyAlignment="1" applyBorder="1" applyFont="1">
      <alignment horizontal="center"/>
    </xf>
    <xf borderId="44" fillId="0" fontId="30" numFmtId="0" xfId="0" applyAlignment="1" applyBorder="1" applyFont="1">
      <alignment horizontal="center" vertical="center"/>
    </xf>
    <xf borderId="26" fillId="2" fontId="65" numFmtId="0" xfId="0" applyAlignment="1" applyBorder="1" applyFont="1">
      <alignment horizontal="center" shrinkToFit="0" vertical="center" wrapText="1"/>
    </xf>
    <xf borderId="73" fillId="9" fontId="6" numFmtId="0" xfId="0" applyAlignment="1" applyBorder="1" applyFont="1">
      <alignment horizontal="center" shrinkToFit="0" vertical="center" wrapText="1"/>
    </xf>
    <xf borderId="74" fillId="0" fontId="3" numFmtId="0" xfId="0" applyBorder="1" applyFont="1"/>
    <xf borderId="26" fillId="10" fontId="20" numFmtId="0" xfId="0" applyAlignment="1" applyBorder="1" applyFont="1">
      <alignment horizontal="center" vertical="center"/>
    </xf>
    <xf borderId="20" fillId="2" fontId="24" numFmtId="164" xfId="0" applyAlignment="1" applyBorder="1" applyFont="1" applyNumberFormat="1">
      <alignment shrinkToFit="0" vertical="center" wrapText="1"/>
    </xf>
    <xf borderId="26" fillId="8" fontId="52" numFmtId="164" xfId="0" applyAlignment="1" applyBorder="1" applyFont="1" applyNumberFormat="1">
      <alignment horizontal="center" shrinkToFit="0" vertical="center" wrapText="1"/>
    </xf>
    <xf borderId="0" fillId="0" fontId="30" numFmtId="0" xfId="0" applyFont="1"/>
    <xf borderId="15" fillId="8" fontId="30" numFmtId="0" xfId="0" applyBorder="1" applyFont="1"/>
    <xf borderId="15" fillId="8" fontId="30" numFmtId="0" xfId="0" applyAlignment="1" applyBorder="1" applyFont="1">
      <alignment horizontal="center"/>
    </xf>
    <xf borderId="0" fillId="0" fontId="30" numFmtId="0" xfId="0" applyAlignment="1" applyFont="1">
      <alignment horizontal="center" vertical="center"/>
    </xf>
    <xf borderId="1" fillId="2" fontId="77" numFmtId="0" xfId="0" applyAlignment="1" applyBorder="1" applyFont="1">
      <alignment horizontal="center" vertical="center"/>
    </xf>
    <xf borderId="0" fillId="0" fontId="30" numFmtId="0" xfId="0" applyAlignment="1" applyFont="1">
      <alignment horizontal="center"/>
    </xf>
    <xf borderId="15" fillId="2" fontId="24" numFmtId="0" xfId="0" applyAlignment="1" applyBorder="1" applyFont="1">
      <alignment horizontal="center" readingOrder="0" vertical="center"/>
    </xf>
    <xf borderId="26" fillId="11" fontId="20" numFmtId="0" xfId="0" applyAlignment="1" applyBorder="1" applyFont="1">
      <alignment horizontal="center" vertical="center"/>
    </xf>
    <xf borderId="15" fillId="0" fontId="32" numFmtId="0" xfId="0" applyAlignment="1" applyBorder="1" applyFont="1">
      <alignment horizontal="center"/>
    </xf>
    <xf borderId="72" fillId="2" fontId="30" numFmtId="0" xfId="0" applyAlignment="1" applyBorder="1" applyFont="1">
      <alignment horizontal="center" vertical="center"/>
    </xf>
    <xf borderId="1" fillId="8" fontId="78" numFmtId="0" xfId="0" applyAlignment="1" applyBorder="1" applyFont="1">
      <alignment horizontal="center"/>
    </xf>
    <xf borderId="72" fillId="8" fontId="30" numFmtId="0" xfId="0" applyAlignment="1" applyBorder="1" applyFont="1">
      <alignment horizontal="center" vertical="center"/>
    </xf>
    <xf borderId="38" fillId="0" fontId="28" numFmtId="0" xfId="0" applyAlignment="1" applyBorder="1" applyFont="1">
      <alignment horizontal="center" textRotation="255" vertical="center"/>
    </xf>
    <xf borderId="55" fillId="0" fontId="3" numFmtId="0" xfId="0" applyBorder="1" applyFont="1"/>
    <xf borderId="0" fillId="0" fontId="32" numFmtId="0" xfId="0" applyFont="1"/>
    <xf borderId="26" fillId="0" fontId="79" numFmtId="0" xfId="0" applyAlignment="1" applyBorder="1" applyFont="1">
      <alignment horizontal="center"/>
    </xf>
    <xf borderId="15" fillId="2" fontId="30" numFmtId="0" xfId="0" applyBorder="1" applyFont="1"/>
    <xf borderId="26" fillId="0" fontId="32" numFmtId="0" xfId="0" applyBorder="1" applyFont="1"/>
    <xf borderId="17" fillId="2" fontId="24" numFmtId="0" xfId="0" applyAlignment="1" applyBorder="1" applyFont="1">
      <alignment horizontal="center" readingOrder="0" shrinkToFit="0" vertical="center" wrapText="1"/>
    </xf>
    <xf borderId="11" fillId="2" fontId="24" numFmtId="0" xfId="0" applyAlignment="1" applyBorder="1" applyFont="1">
      <alignment horizontal="center" readingOrder="0" shrinkToFit="0" vertical="center" wrapText="1"/>
    </xf>
    <xf borderId="11" fillId="2" fontId="80" numFmtId="0" xfId="0" applyAlignment="1" applyBorder="1" applyFont="1">
      <alignment horizontal="center" vertical="center"/>
    </xf>
    <xf borderId="38" fillId="0" fontId="33" numFmtId="0" xfId="0" applyAlignment="1" applyBorder="1" applyFont="1">
      <alignment horizontal="center" textRotation="255" vertical="center"/>
    </xf>
    <xf borderId="1" fillId="8" fontId="81" numFmtId="0" xfId="0" applyAlignment="1" applyBorder="1" applyFont="1">
      <alignment horizontal="center"/>
    </xf>
    <xf borderId="70" fillId="0" fontId="39" numFmtId="0" xfId="0" applyAlignment="1" applyBorder="1" applyFont="1">
      <alignment horizontal="center"/>
    </xf>
    <xf borderId="38" fillId="0" fontId="28" numFmtId="0" xfId="0" applyAlignment="1" applyBorder="1" applyFont="1">
      <alignment horizontal="center" shrinkToFit="0" textRotation="255" vertical="center" wrapText="1"/>
    </xf>
    <xf borderId="0" fillId="0" fontId="82" numFmtId="0" xfId="0" applyFont="1"/>
    <xf borderId="20" fillId="2" fontId="6" numFmtId="0" xfId="0" applyAlignment="1" applyBorder="1" applyFont="1">
      <alignment horizontal="center" vertical="center"/>
    </xf>
    <xf borderId="15" fillId="0" fontId="37" numFmtId="0" xfId="0" applyAlignment="1" applyBorder="1" applyFont="1">
      <alignment horizontal="center"/>
    </xf>
    <xf borderId="26" fillId="10" fontId="20" numFmtId="0" xfId="0" applyAlignment="1" applyBorder="1" applyFont="1">
      <alignment horizontal="center"/>
    </xf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User" id="{ac9d86d0-ac0c-4a45-9ef5-aa3c3c1da743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E15" dT="2026-01-26T20:33:20.00" personId="{ac9d86d0-ac0c-4a45-9ef5-aa3c3c1da743}" id="{5261b950-184a-47f0-abab-ebd22e9fc59b}" done="0">
    <x18tc:text xml:space="preserve">User: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6.57"/>
    <col customWidth="1" min="2" max="19" width="10.71"/>
    <col customWidth="1" min="20" max="20" width="15.29"/>
    <col customWidth="1" min="21" max="26" width="10.71"/>
  </cols>
  <sheetData>
    <row r="1" ht="49.5" customHeight="1">
      <c r="A1" s="1" t="s">
        <v>0</v>
      </c>
      <c r="B1" s="2"/>
      <c r="C1" s="2"/>
      <c r="D1" s="2"/>
      <c r="E1" s="3" t="s">
        <v>1</v>
      </c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2"/>
      <c r="R1" s="2"/>
      <c r="S1" s="1"/>
      <c r="T1" s="6"/>
      <c r="U1" s="7"/>
      <c r="V1" s="7"/>
      <c r="W1" s="7"/>
      <c r="X1" s="7"/>
      <c r="Y1" s="7"/>
      <c r="Z1" s="7"/>
    </row>
    <row r="2" ht="24.0" customHeight="1">
      <c r="A2" s="8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1"/>
      <c r="T2" s="12"/>
      <c r="U2" s="13"/>
      <c r="V2" s="13"/>
      <c r="W2" s="13"/>
      <c r="X2" s="13"/>
      <c r="Y2" s="13"/>
      <c r="Z2" s="13"/>
    </row>
    <row r="3" ht="24.0" customHeight="1">
      <c r="A3" s="8"/>
      <c r="B3" s="14" t="s">
        <v>2</v>
      </c>
      <c r="C3" s="15"/>
      <c r="D3" s="15"/>
      <c r="E3" s="15"/>
      <c r="F3" s="15"/>
      <c r="G3" s="15"/>
      <c r="H3" s="15"/>
      <c r="I3" s="15"/>
      <c r="J3" s="16"/>
      <c r="K3" s="17" t="s">
        <v>3</v>
      </c>
      <c r="L3" s="15"/>
      <c r="M3" s="15"/>
      <c r="N3" s="15"/>
      <c r="O3" s="15"/>
      <c r="P3" s="15"/>
      <c r="Q3" s="15"/>
      <c r="R3" s="15"/>
      <c r="S3" s="16"/>
      <c r="T3" s="12"/>
      <c r="U3" s="13"/>
      <c r="V3" s="13"/>
      <c r="W3" s="13"/>
      <c r="X3" s="13"/>
      <c r="Y3" s="13"/>
      <c r="Z3" s="13"/>
    </row>
    <row r="4" ht="24.0" customHeight="1">
      <c r="A4" s="18" t="s">
        <v>4</v>
      </c>
      <c r="B4" s="19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11</v>
      </c>
      <c r="I4" s="20" t="s">
        <v>12</v>
      </c>
      <c r="J4" s="20" t="s">
        <v>13</v>
      </c>
      <c r="K4" s="21" t="s">
        <v>5</v>
      </c>
      <c r="L4" s="21" t="s">
        <v>6</v>
      </c>
      <c r="M4" s="21" t="s">
        <v>7</v>
      </c>
      <c r="N4" s="21" t="s">
        <v>8</v>
      </c>
      <c r="O4" s="21" t="s">
        <v>9</v>
      </c>
      <c r="P4" s="21" t="s">
        <v>10</v>
      </c>
      <c r="Q4" s="21" t="s">
        <v>11</v>
      </c>
      <c r="R4" s="21" t="s">
        <v>12</v>
      </c>
      <c r="S4" s="22" t="s">
        <v>13</v>
      </c>
      <c r="T4" s="23" t="s">
        <v>0</v>
      </c>
      <c r="U4" s="13"/>
      <c r="V4" s="13"/>
      <c r="W4" s="13"/>
      <c r="X4" s="13"/>
      <c r="Y4" s="13"/>
      <c r="Z4" s="13"/>
    </row>
    <row r="5" ht="24.0" customHeight="1">
      <c r="A5" s="24" t="s">
        <v>14</v>
      </c>
      <c r="B5" s="25">
        <f>18+1+1-1+1-1-1+1+1+1-1+1-2-1</f>
        <v>18</v>
      </c>
      <c r="C5" s="25">
        <f>6-2+1-4+2-3+4-1-2+1-2+2+5-2+1+40-4+2-1+1+4-1+1-1-1-2-4+2-1+4+1-3-1-1-1-1+1+1+1-1</f>
        <v>41</v>
      </c>
      <c r="D5" s="26">
        <f>33-14-2+1-2+14+2-3-1-1-2+2-2-6-1+1+2+6+3+1+2-1+1+1+14-1+1+1-1-1+1+1-3-2-1-2-1+1+2+3+2-2-1-1-1+1+1+1-1-1-2-1+1</f>
        <v>42</v>
      </c>
      <c r="E5" s="25">
        <f>16-4-1-2+1+1+4+2-1-1-4-3-1+4+1+3+1-2+2+15+1-1+4-2-2-2+1+2+1+2-1+1-1-1-3-1-1+1-6+3-1+1+1+6+1-1-1-2+1+1</f>
        <v>32</v>
      </c>
      <c r="F5" s="25">
        <f>32-10-1+1+10+1-1+2+1+10-1-1-1-1-1+1+1-5-1+1-1+1-1</f>
        <v>36</v>
      </c>
      <c r="G5" s="25">
        <f>0+27-1+1-3+3-1+1-1-2-1+2+1-1+1-4+1+1+1+1-1+1-1+1-4-3+4-1+3+1-3+3-2+2-2-1+2+1-1-1+1-2-1+1+1+1+2-1-1+1+1+2-1-3+3-1+1</f>
        <v>28</v>
      </c>
      <c r="H5" s="25">
        <f>19+1-1+1-2+2+1-1+1-1+1-3+3-1+1-1+1-1+1-1-2+2+1-4+4-3+1</f>
        <v>19</v>
      </c>
      <c r="I5" s="25">
        <f>0+8-1+1-1+1-1-1+1+1-2+2-1-1+1+1-2+2-1+1-1+1-1+1</f>
        <v>8</v>
      </c>
      <c r="J5" s="25">
        <f>0+10-1+1-1+1-1+1-1-1+1+1-1+1</f>
        <v>10</v>
      </c>
      <c r="K5" s="25">
        <f>29-6+6-5+5-1-1+1</f>
        <v>28</v>
      </c>
      <c r="L5" s="25">
        <f>13-1+3+1+12-1-1+3-1-2-2-1-1-1+2+1-1+1+1+1+1+1+2-2-6+1+2-1+12-3+6+3+1-1-1-1-15-5+15-2+1-9+1+5+2+9+1-2-1-1+1+1-1+2+1-3-10</f>
        <v>30</v>
      </c>
      <c r="M5" s="25">
        <f>13-3+1+13+3+1+4+20-4-1-1+1+2+3-1-2-2-2-2+2-1-2-1+1+1+4-1+2-2+2+1+1+2+2+1+2+2-2-9-1+1-8+1+2+9-1-1+1+20-1+8+1+1-10-23-5+23-4-4-2-1-2-17-1-1+1+1-1+4+2+1+17+5-1-1+1-1-1-2-1+1-2-1+1+1+1+1+2+1-1-2-3-1+1+2-2-10+1</f>
        <v>47</v>
      </c>
      <c r="N5" s="25">
        <f>12-1+7+1+3+34+1-2-1-2+2+1+1-6-3-4+2-1-1+4+1+2+6+1+1+1+3+1-2-1-1-2-8+1+2+1+1+2+34-2-1+8+2+1-1-1-32-4-5-1-3+32-3-6-1-2+1+3+5+1-1-1+3+1+6+4-1-3-1-1-1+1-1+2+2+1-1+1+1-3+1-10</f>
        <v>80</v>
      </c>
      <c r="O5" s="25">
        <f>10-1+1+4+2+32-1-1+2+1-2-1-2-2+1-5+1+2+2+2+2-5-1-2-1-8+1+2+5+1+20-2-1-2+8+2+1+2-1-1-16-1+16-1-1-1-1-3-7+1-1+1-1+1+3+1+1+7+1+1-1-1-2-2+1+2-4-1-4-1-3</f>
        <v>49</v>
      </c>
      <c r="P5" s="25">
        <f>6+1+1+20-1-2+2+2-1-2-1-1-2+2-5+1+1+1+2+20+5+1-2+2-1-1+1+1-2-4-1-2+2-1+4+2+1-2-2-1</f>
        <v>44</v>
      </c>
      <c r="Q5" s="25">
        <f>16-3+2+2+3-1-3-2+1-1+2+2+1-3+2+3-1+1</f>
        <v>21</v>
      </c>
      <c r="R5" s="27">
        <f>0+2+1-2+2-3+1+1+1+1-2-1+1+1-2+2-1-1-1+1-1+1-1+1-1+1+1-1-1</f>
        <v>0</v>
      </c>
      <c r="S5" s="27">
        <f>0+8-1+1-3-2+2-1+1+1-1-1+1-1+1-1+1-3+1+3-3-1-2+3-1-1+1+1-1-1+1+1-1</f>
        <v>2</v>
      </c>
      <c r="T5" s="28">
        <f t="shared" ref="T5:T29" si="1">SUM(B5:S5)</f>
        <v>535</v>
      </c>
      <c r="U5" s="13"/>
      <c r="V5" s="13"/>
      <c r="W5" s="13"/>
      <c r="X5" s="13"/>
      <c r="Y5" s="13"/>
      <c r="Z5" s="13"/>
    </row>
    <row r="6" ht="24.0" customHeight="1">
      <c r="A6" s="24" t="s">
        <v>15</v>
      </c>
      <c r="B6" s="27">
        <f>0+20-1+1-1+4-2+2+2-1-1-1+1+1-1-2+1+2+1-1-1+1-1+1-16+16+1-1+1-1</f>
        <v>24</v>
      </c>
      <c r="C6" s="27">
        <f>0+19+1-1+1-1+1-3+3+1-1-2+1+1+2-1+1-1+1-2+2+2-1-1-11+1-1+16+1+28-30+30-3-3+3-1+1-4-1-1+4+1+1-2-1-1-1-1+1+1+1-1+1+1-5+5-2-3+3+2-2-1+2+1-4-1+4+1+3-1+1-1-1+1-1+1-1-2-1-1+1+2+1</f>
        <v>52</v>
      </c>
      <c r="D6" s="27">
        <f>0+22+1-1+1-1+5+1-6-3-2+3+6+2+1-1-1+1+3+1+1-5-1-2+2+5+1-2+2-1-1+1-2+11-3+1-1+3+2-4-1+1+4-1-3-6+3+5-6+32-42+42+1-1+1-1-1-1+1+1+1-1+1-4+4-1-1+1-3-1+1+1+3+1-2+1+2-2-6+6-8+8-1-1+1+1-2-2+2+2-2+2-2+2+2-1-1-1+1-1+1+1+1-2-12+2+12+2+2+2-2-2+2-3+2+3-1+1-1-1+1+1+1-2-1</f>
        <v>74</v>
      </c>
      <c r="E6" s="27">
        <f>0+33-1+1+1+5-4+4+1-2-1+1+2-3+3+1-1+1+1-1-1-1+1-1+1-3+8+3+12-29+29-1+1-1-1+1-1-1+1+1-1-1+1+1+1+1-3-2+2-6-1-1+6-1+1+1-3+3-2-6+2+1+1+6-1+1-1-1-1+1+1+1-1+1+1+12+1-1-2+1-2-1+2-1+1+2+1-1-1+1+1-1-1+1+1</f>
        <v>73</v>
      </c>
      <c r="F6" s="27">
        <f>15+1-1+5+1-2+2-1+1-1+1-1+1-1-1+1+1+1-2+2+3+8-19+19-1-1+1-1+1-1-2+1+1-2-1+2+1+2+1+3-1-2+2-3+3-2+2-1+1-1-1-1+1-1+1+1-2-1-3+3+2+1+1+1-1-1+1-1-1+1+1-1</f>
        <v>35</v>
      </c>
      <c r="G6" s="29">
        <f>35</f>
        <v>35</v>
      </c>
      <c r="H6" s="27">
        <f>0+11-1+1+2-1+1-1-1+1+1-3+3-3+3-1+1-1+1-1-1+1+1-1</f>
        <v>12</v>
      </c>
      <c r="I6" s="27">
        <f>0+8-1+1+1-1-1+1-1+1</f>
        <v>8</v>
      </c>
      <c r="J6" s="27">
        <f>0+10-1+1-2-1-1+1-1+1</f>
        <v>7</v>
      </c>
      <c r="K6" s="25">
        <f>0+11-1+1+4-1+1-4+4-15+15-1+1-1+1-1+1-1+1-1+1-5+5-1-1-1+1+1+1-1</f>
        <v>14</v>
      </c>
      <c r="L6" s="30">
        <f>27+6-5+5-1-6+1+6-10-1+8-1+1-1-9+10-1+1+9+1+1-5-11-1-1-2+5+11+1+2</f>
        <v>40</v>
      </c>
      <c r="M6" s="25">
        <f>0+4+1-2-1-1-1+7+1+2+1+2+3-2+42-3+2+3-3-1+3-4+1-1+1-1-5-1+4+1+1+5+1-2-6-1+6-2+1+2+2+2-3+3-2-1-1-2-1+1+2-11-1+1+11-2-2+1+1+2+2-5+1-26-5+5-10-10+2+10+10-1+43+6-2-2-70-1+70+1-4-1+4+1-2+2-1-2+2-1-1-2+1+1-1-1-2-1+2+1-1+1+1-2-2+1+1-1+2-3+1-4-1+4+1-1-1+2+1+1-2+2-6-2-13+6+2+13-4-3+4-12-41+3+12+41-2-2-3+2+3+2-4-3-10-1-2-3-2+4+10+1+3+2+3-5-1-2+2-2+1+5-1+1-3+2+2-1+1-8+3+1-4-4-1-1-2+4+4-1+2+1+1-10+1+10-33-1-2-6+2+1+33+2-8+8-2-1-15-2-1-1+2-1-1-3+1-1-1-1-1+15-1+1+3+1+1-1+1+1+1+1+1+1-4-4-5+4+5+4-1-1+1</f>
        <v>55</v>
      </c>
      <c r="N6" s="25">
        <f>14-3-3-1+3+3+1+3+1-2-1-1+2+1+1-1-2-1+1-2-1+1+2+1+2-1-8+8-1-1-2-1+1+1-3+1+1-1-2+2+1-10-1+3+10+1-10-15+1+15+10+44+1+7+5+2-38+2+38-4+4-1-2-1+2+1+1-1-1+1-2-1+1-1-2-2+2+1+1-1+1-1-2-1-1+2+2+1+2+1+1+2-6+1+1-1+6-2+1-4+4-2+2-1-1+1-1-9-2-12-1+1+9+2+1+12-1-1+1-3-6+1+3-20-41-2+6+20-2+41+2-4+2-1+4+1-1-2-4-1-1-2+2+4+1+2+1-2-1-4-1+2-1+1+1+3+4-4-3+1-1+3+1+1-1-1-3-12-1-1+3-1+1+1+1-2-12-2+1+2+12-38-1+2-1-6+38+1+1+6+2+1-2-1-8+6+2+1+8-3+12-15-1+3-1-1+1-1-2+15-1+1+1-3-1+2+1+4-8+1-1-3+4+8+1+1+3+1</f>
        <v>92</v>
      </c>
      <c r="O6" s="30">
        <f>20-15-1-1+2-1+1-1-1-1+15-1-1+1+1+1-1+1+1+1+1-4-1+1+1+4-1-1-6</f>
        <v>14</v>
      </c>
      <c r="P6" s="25">
        <f>0+18+1-1+3+1+15-1+1-1+1+1-1-1-1+1-1+1-6-1+6+1+5-1+1+1-1+1+1-5-5+5+5+8-14-14+14-3-1+3+1+1-1-1-3+1-1+3+1-1+1-2-4-2+2-1+4+1-1-3+3-2+1-2-1+2+2+1-2+2-4-2-1-1-1+2+1+4+1+1+1-1+1-1-3+1-3+3-2-1-5+2+1+5-2-1-15+2+1+2-1-1+15-1+1+1+1-2+2-1</f>
        <v>34</v>
      </c>
      <c r="Q6" s="25">
        <f>0+8-1+1-1+1-1+1-2+2-5+5-1+1-1+1-3+3-2-1-4-1-1+3+4+1+1-3+1-1-2+1-2+2-1+2+1-2-1+2-2+1+2-1+1+2+4-4-1-1+1+4+1-4+1+1-1</f>
        <v>9</v>
      </c>
      <c r="R6" s="27">
        <f>0+1+1-2+1-1+1-1+1+1-1-1+1-1</f>
        <v>0</v>
      </c>
      <c r="S6" s="25">
        <f>0+8-1-2-1+1-1+1-4+4-1-1-1+1+2-1+1</f>
        <v>5</v>
      </c>
      <c r="T6" s="28">
        <f t="shared" si="1"/>
        <v>583</v>
      </c>
      <c r="U6" s="13"/>
      <c r="V6" s="13"/>
      <c r="W6" s="13"/>
      <c r="X6" s="13"/>
      <c r="Y6" s="13"/>
      <c r="Z6" s="13"/>
    </row>
    <row r="7" ht="26.25" customHeight="1">
      <c r="A7" s="24" t="s">
        <v>16</v>
      </c>
      <c r="B7" s="27">
        <f>0+11-1+1-1+1-1+1-2-1+2+2+1+1-1+1</f>
        <v>14</v>
      </c>
      <c r="C7" s="27">
        <f>0+12+1-1+1+2-1+1-3+3-2+1+1+1-1+1-1+1+1-1-1+1-5+5-1+1-1+1-10+10-1+1+9-1+1+1-1-1+1+1-1+1</f>
        <v>26</v>
      </c>
      <c r="D7" s="27">
        <f>0+19-1+1-1+1+1-1+1-1+1-3-10+10+6-3+3-1+1-1+1-2-2+2-2-2+2-1+1-1+1-2-1+1+2-1+1-1+1+4-1+1-1+1+1</f>
        <v>24</v>
      </c>
      <c r="E7" s="27">
        <f>0+25+1-1+1-1+1-1-1-24+24+1-5+5+1-1+1-1+1+1-3+3-2+2-3+3-1+1-1+1-1-1+1+1-3-1-2+3+1+2+1-1+1+1</f>
        <v>29</v>
      </c>
      <c r="F7" s="27">
        <f>0+18+1+1-1-1+1+1-20+20-3+3-1-1+1-2+2-2+2-2+2-2+2-1+1+1-1+1+1</f>
        <v>21</v>
      </c>
      <c r="G7" s="27">
        <f>0+27-1+1-1-4-1+4+1+1-2-1+1+1-3+3-1+1-1+1-1+1-1+1+1-1+1</f>
        <v>27</v>
      </c>
      <c r="H7" s="27">
        <f>0+21-1+1-1+2-1+1-1+1+1-3+3</f>
        <v>23</v>
      </c>
      <c r="I7" s="27">
        <f>0+9-2+1-1+1+1</f>
        <v>9</v>
      </c>
      <c r="J7" s="27">
        <f>0+8+1-1+1+1</f>
        <v>10</v>
      </c>
      <c r="K7" s="25">
        <f>0+26-1+1-1-1+1-1+1+1-1+1-2+2-1+1-1+1-1+1-5+1+5-1</f>
        <v>26</v>
      </c>
      <c r="L7" s="25">
        <f>0+38-1+1-2+2+1+4-2-1+2+1-1+1-2+2-1+1-5-3+4+1+3-3+3-9+9-1+1-1-2+1-3+2+3-1-1+1-1-1+1-2-2+1+2+2-10-5-2+5-9-3+2+3-1-1+1+10+1-6+1+6-15+15-1-1+1</f>
        <v>33</v>
      </c>
      <c r="M7" s="25">
        <f>19-3+24-2-1-1+1+3+1-1+1+2-2+1+2</f>
        <v>44</v>
      </c>
      <c r="N7" s="27">
        <f>31-1+1+2+1-2+2+1-3-3+3+2-2-1+2-1+1+1-1-1+1+1-2+2-2+2-3-5-2-4+2+5+3+4+5-7+1+1-1+1-8-6+2+6+8-1+1-2+2-5-1+1-1-2+1+2-12-19+11-2+20-2+2+2-1+1-1+1-2-3-1+2+1+3-2-2+2+2+1+2-1-28-2-2-1+27+1-1-1-4+2+2-1+4+1-2-15+1-1-1+1+15+1+15+1-1-1-1-8+1+1+1-2+1+8+2-1-1-13-31+1+31+1-1-1+1+1</f>
        <v>33</v>
      </c>
      <c r="O7" s="25">
        <f>0+19-1-2-3+1+2+3-1-1+4-1+1-3+1+3-1+1-1+1-4-2-2+2+4+2-10-1+1+10+1-9-1+1+10-1+1-2+2-1+1-1+1-1-1+1+1-1+1-4-10+4+10-1+1-1+1-1+1-1-1+1+1-7-1+7-1-1-1+1+1+1-7-3-1+10+1+7-3-8+1+8-16-5+14-1-3+1+3</f>
        <v>21</v>
      </c>
      <c r="P7" s="25">
        <f>20-1+1-1</f>
        <v>19</v>
      </c>
      <c r="Q7" s="25">
        <f>0+14+1-1-1+1+1-1-1+1+1-12+5+4-5+5-1+1-2+2-1+1-2+2-1+1-1+1+1-1-1-3+1+1</f>
        <v>10</v>
      </c>
      <c r="R7" s="25">
        <f>0+12-1-1+1+1-1+1-1+1-1-1+1-1-1+1+1+1-1+1+1+1</f>
        <v>14</v>
      </c>
      <c r="S7" s="30">
        <f>14+1</f>
        <v>15</v>
      </c>
      <c r="T7" s="28">
        <f t="shared" si="1"/>
        <v>398</v>
      </c>
      <c r="U7" s="13"/>
      <c r="V7" s="13"/>
      <c r="W7" s="13"/>
      <c r="X7" s="13"/>
      <c r="Y7" s="13"/>
      <c r="Z7" s="13"/>
    </row>
    <row r="8" ht="24.0" customHeight="1">
      <c r="A8" s="24" t="s">
        <v>17</v>
      </c>
      <c r="B8" s="27">
        <f>0+11-1+1-1+1-1+1-1-1-1</f>
        <v>8</v>
      </c>
      <c r="C8" s="27">
        <f>0+25-1+1-2+2-1+1+1-1+1-1-1+1+1-1+1+1-2-1+1+1-1+1-1+1-1+2-2-1+1+2-1+1-1-1+1-1</f>
        <v>25</v>
      </c>
      <c r="D8" s="27">
        <f>0+22-1+1-1-1+1+1-4+4-1-1+1-1+1-6+1+1+6+1+1-2+2-1-2+1-3+3-2+4-1+1-1+1-1+1-1+1-1+1-1+1-1+1-1</f>
        <v>24</v>
      </c>
      <c r="E8" s="27">
        <f>0+26-1+1-1+1+1-2+1+2-1+1-1+1-1+1-1+1-1+1-1+1+1-2+2-1+1-7+7-1+1-2-1+1-3+3-1+1-1-1+1+1-1-1+1+1+1-1</f>
        <v>27</v>
      </c>
      <c r="F8" s="31">
        <f>0+24+1+1-5+1-1+1+5-1-1+1+1+2-1+1-8-2+2-3+3-1+1-1+1-1+1-3+3-1-1-1-1+1+1+1+1+1-1</f>
        <v>21</v>
      </c>
      <c r="G8" s="27">
        <f>0+19-2+2-1-1+1-3+3-2+2-1+1-1</f>
        <v>17</v>
      </c>
      <c r="H8" s="27">
        <f>0+9+10</f>
        <v>19</v>
      </c>
      <c r="I8" s="27">
        <f>0+10-2</f>
        <v>8</v>
      </c>
      <c r="J8" s="27">
        <f>0+7-1+1-1+1+1</f>
        <v>8</v>
      </c>
      <c r="K8" s="25">
        <f>0+21-1-1+1+1-1+1-1-1+1+1</f>
        <v>21</v>
      </c>
      <c r="L8" s="25">
        <f>0+31+1+1+1-1-1+1+1-1-3-4+3+7-1+1-1+1-3+3-1-1+1+1-1+1-4+4-1+1-8-1+8-4-1+5+1-1</f>
        <v>35</v>
      </c>
      <c r="M8" s="25">
        <f>1+41-2-2+6+2-1-1+1+1-1+1-1+1-2+2-1-3+1+3-1+1-2+1+2-2-1+2-4+1+4-3+3-4-2+2+4-1+1-2+2-1-1+1-4-1-1+1+1+4-1+1-1-1</f>
        <v>44</v>
      </c>
      <c r="N8" s="25">
        <f>0+28+1+6+6-1-1-2+1+2-1-1-1+1+1+1+1-1-4+1+4-2-3-8+2-1+1+3+6+1-8-2+2+2+8-2+2-1+1-2+2-1-1+1-1+1-2+1+2-3+3-6+6-1+1-2-1+1+2-1-1-2+1+2-1+1+1-1+1-1+1-1+1-2-1+2+1-1+1-1-2+1-2+2+1-1-1+2+2+2+1-1</f>
        <v>45</v>
      </c>
      <c r="O8" s="25">
        <f>0+37+3+2-2+6+2-1-1-1-1+1+1+1-3-1+1+3+1-1+1-1-2-2+1+2+2-2-1-5-4+1+5-1+1+1-1-1+1-1+1-1+1-4+4-1-1+1+1-2+2-1-1+1-1+1-1+1-1-1-1+1+1+1+1-8-1-1-1+1+1+8+1-1</f>
        <v>41</v>
      </c>
      <c r="P8" s="25">
        <f>0+17+3+3-1-1+1-1+1-1-2-1+1+1+4-2+2-1+1-1+1-1-1+1+1-2+2-1+1-1+1-1+1-1+1-1+1-4-1-1+1+1+4-1</f>
        <v>23</v>
      </c>
      <c r="Q8" s="30">
        <f>15-1-3+1</f>
        <v>12</v>
      </c>
      <c r="R8" s="27">
        <f>0+10-1+1-1-1-1+1+1+1-1+1-1+1-1-1+1+1</f>
        <v>10</v>
      </c>
      <c r="S8" s="27">
        <f>0+8-1-3+3-1+1</f>
        <v>7</v>
      </c>
      <c r="T8" s="28">
        <f t="shared" si="1"/>
        <v>395</v>
      </c>
      <c r="U8" s="13"/>
      <c r="V8" s="13"/>
      <c r="W8" s="13"/>
      <c r="X8" s="13"/>
      <c r="Y8" s="13"/>
      <c r="Z8" s="13"/>
    </row>
    <row r="9" ht="24.0" customHeight="1">
      <c r="A9" s="24" t="s">
        <v>18</v>
      </c>
      <c r="B9" s="27">
        <f>0+8-1+1-2+2-1+1-2+2-2+2-1-1-6+8</f>
        <v>8</v>
      </c>
      <c r="C9" s="27">
        <f>0+33-2+2-1+1+1-1+1-1-5+5-1-2+1+1-5+1+2+1+5-1+1-1+1-2+2-2+2-9+9-4+4+4-2-1-1-1+1</f>
        <v>36</v>
      </c>
      <c r="D9" s="27">
        <f>26+2-1+1-1-1-1+1-1+1+1-1+1-8+1-3+8-1+3+1-2+2-3+3-2-2-3-3-1+3-9+1+9-1-3</f>
        <v>17</v>
      </c>
      <c r="E9" s="27">
        <f>0+25-2+5+2-1+1-1-1+1+1+1-1-1+1+1-1+1-1+1-3+3-1+1-8+8-1-1+1-12+1-2+12+2-1-1+1+1</f>
        <v>31</v>
      </c>
      <c r="F9" s="27">
        <f>0+16+5-1+1+1-1+1-1-1-1+1+1+1+1-2+2-1-1+1-2-2+2+2+2-1+1-1+1-1+1-12+12-12-1-1</f>
        <v>10</v>
      </c>
      <c r="G9" s="27">
        <f>0+10-4+7-1+1-9+9</f>
        <v>13</v>
      </c>
      <c r="H9" s="27">
        <f>0+28-1+1-1+1-9+3+2-1+1-2+2-9+9</f>
        <v>24</v>
      </c>
      <c r="I9" s="27">
        <f>0+10-1+1</f>
        <v>10</v>
      </c>
      <c r="J9" s="27">
        <f>0+9</f>
        <v>9</v>
      </c>
      <c r="K9" s="25">
        <f>0+10+5-1-1+1+1-12-1-2+12-1-11+1-1+12+1</f>
        <v>13</v>
      </c>
      <c r="L9" s="25">
        <f>0+33-1+1+5+1-9+4-1-1-4-1+1+1+4+1-1+1+1-1+1-3-3-2+3-2+2+3+2+2+2-5-30+5+30-6-3+6-2+3+1-2-9-5-1+6+9+1-5-12+5-1-1+2+1+1+12-1+1-1</f>
        <v>38</v>
      </c>
      <c r="M9" s="26">
        <f>0+54-1+1+6-1+1+9-3-1-2+2+3+1-1-1+1+1+1-1-1+1+1-13+4-1-9+9-1+1-4-2+2+4-1-4-3+1+4+3-2-1-1+2+1-1-1+1+1+1+2-3-1+1+1+3-1-1+1+1-1+1-1+1-2-1-12+2-1-1-1-1+1+12+1+2-1+1+1-10-1-40+10+40-2-2+2-1+2+1+1-9-3-2+9-1+3+1-12-2+1+12+2</f>
        <v>62</v>
      </c>
      <c r="N9" s="25">
        <f>0+25-10+1-1+10+5-2+1+2+4-1-2+1+2-2+2-1+1-4+5-10+10-5-1+1+5-4-3-5+4+3+5-1+1-1-1+1+1-1-2-2+1+2+2-1-1+1+1+1-4-1+4+1-1+1-2+2-2-19+2-2-1-1+20+2-1+1+1+2-1-5+1-34+5+32-12-3+12-1+3+1+1-30-7-1+30+2+7-1-1-12+1-3+12+3</f>
        <v>38</v>
      </c>
      <c r="O9" s="25">
        <f>0+34-1+1-1+5+1-1+1-2-2+2+2-2-1-3+6-3+3-4-1+4+1-4-1+4+1-1+1-3+1-2+3+2-1-1-1+1+1+1-1+1-1+1-1+1-1-4+1+4-5-35+35-2-2+2-1+2+1-9-2-2+9+2+2-12+12-4+1+12+4</f>
        <v>48</v>
      </c>
      <c r="P9" s="25">
        <f>0+23+1-2-6+1+2-1-1+1+1+1+5-1+1-2-2+2+2-4+4+3-1+1-1-1+1-3-20+1+20-10+3+1-1+1-4+4-14-5+14-12-1+12+1-1+1-3</f>
        <v>11</v>
      </c>
      <c r="Q9" s="25">
        <f>0+29+2-1+1+5-6-1+1-3-1+1-1+1-2-2+2+2-9-2+3+2+9-12-2+12+1+2</f>
        <v>31</v>
      </c>
      <c r="R9" s="25">
        <f>18-1-1+1-2+2-1+1-6-2+2+2+6-1+1</f>
        <v>19</v>
      </c>
      <c r="S9" s="25">
        <f>0+19-2+2+1-1-1+1-1+1-9+1+9-3+3</f>
        <v>20</v>
      </c>
      <c r="T9" s="28">
        <f t="shared" si="1"/>
        <v>438</v>
      </c>
      <c r="U9" s="13"/>
      <c r="V9" s="13"/>
      <c r="W9" s="13"/>
      <c r="X9" s="13"/>
      <c r="Y9" s="13"/>
      <c r="Z9" s="13"/>
    </row>
    <row r="10" ht="24.0" customHeight="1">
      <c r="A10" s="24" t="s">
        <v>19</v>
      </c>
      <c r="B10" s="27">
        <f>0+12+3-1+1-2+3+2-1+1-1-1-1+1+1-1-3+3-2-6+2+6-1-1+1</f>
        <v>15</v>
      </c>
      <c r="C10" s="27">
        <f>0+12-4+3+4-2-9+9-2+4+2-1-1+1+1-1+1-1+1-4+4-2-1+2+1-2+2-1+1-1+1-1-1+1+1-2+2-1+1-1+1-3+1+3-1-1-2+1+1+2-1-2+2+1-1+1-6+6-2-1-1-1</f>
        <v>13</v>
      </c>
      <c r="D10" s="27">
        <f>0+36-1+3+5+1-1+1-1-3+1-1+1-2-16+16+6-3+3-1+1-2-1+1-1-8+1+8-1+1-1-2+2+1-1-1+1+1-1+1-1+1-2-1-3+1+2+2-6+1+6+1-1-1+1-1+1-2+1-1</f>
        <v>41</v>
      </c>
      <c r="E10" s="27">
        <f>0+40-1+3+5+1-1+1-3-1+1-1+1-5+5-1+1+3-1+1-1-2-1-1+1+1+1-2+2-1+1-2+2+1-1+1+1-1+1-1+1-1+1-3-1+3-1+1-8+1-5+8-1+1</f>
        <v>43</v>
      </c>
      <c r="F10" s="27">
        <f>0+27+3+5-1-1-1+1+1+1-3+3-1+1-1+1-2+2-1-1+1-2+2-1+1+1-1-8+1-2+8-1-32</f>
        <v>0</v>
      </c>
      <c r="G10" s="27">
        <f>0+21+3+1-1+1-2-1+2-2+2-1-1+1-1+8-1+1+1-6-1+6-1+1</f>
        <v>30</v>
      </c>
      <c r="H10" s="27">
        <f>0+19+1-1+1-1+1+1-2+10+2-8+8-3+3</f>
        <v>31</v>
      </c>
      <c r="I10" s="27">
        <f>0+9-1+1-1+1+1-1+1</f>
        <v>10</v>
      </c>
      <c r="J10" s="27">
        <f>0+5</f>
        <v>5</v>
      </c>
      <c r="K10" s="25">
        <f>0+15+3-1+1-1-1+1+1-1+1-1+1-2+2-8+8-1</f>
        <v>17</v>
      </c>
      <c r="L10" s="25">
        <f>24-1+1-1-4+1-1</f>
        <v>19</v>
      </c>
      <c r="M10" s="25">
        <f>43+7-1-1-2-5-1-1+1+1-2+1+5+1-1+1+2</f>
        <v>48</v>
      </c>
      <c r="N10" s="30">
        <f>27-1-1+3+1+1-2-1-1-1+2-1+1+1+1+1</f>
        <v>30</v>
      </c>
      <c r="O10" s="25">
        <f>0+18-2+3+5-1-1+1-2+2-16+16+1+3-1+2-1-1-1+1-2+1+2-2+2-1-2-1+2+1-1+1+1-1+3-1-16+1-1-1-1+1-1+1-1-10+1-1+3+10-6+1-2+6+2-1+1-2-1-2-7-1-1+7+1+2+1+1</f>
        <v>12</v>
      </c>
      <c r="P10" s="25">
        <f>14-1-1+1</f>
        <v>13</v>
      </c>
      <c r="Q10" s="25">
        <f>14-3+3</f>
        <v>14</v>
      </c>
      <c r="R10" s="25">
        <f>3-1+1</f>
        <v>3</v>
      </c>
      <c r="S10" s="27">
        <f>0+7-1+1-6+6-2+2</f>
        <v>7</v>
      </c>
      <c r="T10" s="28">
        <f t="shared" si="1"/>
        <v>351</v>
      </c>
      <c r="U10" s="13"/>
      <c r="V10" s="13"/>
      <c r="W10" s="13"/>
      <c r="X10" s="13"/>
      <c r="Y10" s="13"/>
      <c r="Z10" s="13"/>
    </row>
    <row r="11" ht="24.0" customHeight="1">
      <c r="A11" s="24" t="s">
        <v>20</v>
      </c>
      <c r="B11" s="27">
        <f>0+12-1+1-1+1-3+3+1-1-1+1+1</f>
        <v>13</v>
      </c>
      <c r="C11" s="27">
        <f>0+16-1-2+1+2-1+1-1+1-1+1-1+1-1-1+1+1-1+1-4+4+1-3+3-4-1+4-2-4-1+2+4-3+1+3-1+1-1+1-1-1+1+2-4+4-1+1-1</f>
        <v>16</v>
      </c>
      <c r="D11" s="27">
        <f>0+22-4+4-1+1-1+1-3+4-1+1-8+2+8-1-1+1-1+1-1+1-8-2+8+2-1-1+1+1-9+9-2+2-4-3+3+4-1-2-1+2+1-1+1+1-1+1-1+1</f>
        <v>24</v>
      </c>
      <c r="E11" s="27">
        <f>0+28-1-1+1-1+1-1-2+2-1+1-2+2+1-2+2-1+1-1-1+1+1-6+6-1-1-1+1-1+1+1+1-2-1+2+1-3+3-3+3-1-1-1-1+1+1+1-1-1-1+1+1+1-1-1+1+1-2-1+2-1+1+1</f>
        <v>26</v>
      </c>
      <c r="F11" s="27">
        <f>0+12+1-2+2-1+1-4-1-1-1+4+1+1-2-1+2+1-2-1+2+1-1+1-2+1+2-1+1-1-1+1-1+1+1-1-2+1+2-1+1-1+1-4+1+1+4-1+1-1-1+1+1-1+1-1+1</f>
        <v>15</v>
      </c>
      <c r="G11" s="27">
        <f>0+18-4+4-6-2-1+1-1+1-1</f>
        <v>9</v>
      </c>
      <c r="H11" s="27">
        <f>0+1-1+1-1+7-1+1</f>
        <v>7</v>
      </c>
      <c r="I11" s="27">
        <f>0+8</f>
        <v>8</v>
      </c>
      <c r="J11" s="27">
        <f>0+7+1-2+1</f>
        <v>7</v>
      </c>
      <c r="K11" s="27">
        <f>0+17-1+1-1-1</f>
        <v>15</v>
      </c>
      <c r="L11" s="27">
        <f>0+24+1-6+1+9-1+1-1-1+2+1+1-1+1-1+1-1-1-3+3+1-1-1+1-1+1+1-2-4+2-2+4+2-1+1-1+1-2+2-1-2+1+2+1-3+3+1-1+1-1-1+2+1+1</f>
        <v>34</v>
      </c>
      <c r="M11" s="27">
        <f>0+13-1+8+5+1-3+4+11+1-1-2-3-1+1+2+1+3-1-1+1+1-1+1-1+1-2+1-4+4-1+1-2+2-1-1-3+1+1-1+1+3-4+4-1-10+1-1+10-1+1+1+1-2-3+2-1+3+1+1-6-1-1+6+1+1-1-5-1-1-1+1+5+1+1-10+1+10-1-1-1-1+1+1+1+1-2-1+2+1-1-1-1+1+1+1-2-1-2+2+1+1+2+1-2-1-1-1+2+1+2-1+1-1+1+1-2</f>
        <v>41</v>
      </c>
      <c r="N11" s="27">
        <f>0+15+3+2-6+2+16-1+1-3+3+1-1-4+1-1+4-1+1+1-1-1-1+1-1-1+1-2+2-1-1+1+1+1-3+3-2-10+10+2-1+1-2-1-1+2+1+1-11-5+1+11-3+5+3-5-5+5+5-1+1-6-2-1+6+1+2-1-3+1-5-2+3+5-2+2-1-1+1+2-2+2-1+1-1-1+1+1+1-2+2+2-4-1+1+1+4-2+1+2</f>
        <v>36</v>
      </c>
      <c r="O11" s="27">
        <f>0+19-6+2+6-2+5-1-2-1+1+2-2-1+1+1+2-2+2+1-2+2-1+1-1-1-1-8+1-1+8-1+1-4-4+4+4-4-2-2+4+2+2-3-5-4-1+1-1+3+5+4+1-2+1+2-1+1-2+2-1-1+1+1-1-1+1+2+1-2+2-1+1+1-2-1+1</f>
        <v>24</v>
      </c>
      <c r="P11" s="27">
        <f>0+7-1+2-1+1-1+1-1+1+3-1+1+1-4-1+4+1-3+3-4+4-1-1+1+1-3+3-1+1-1-1+1+1-1+1-1+1-1+1-2-2+2</f>
        <v>10</v>
      </c>
      <c r="Q11" s="27">
        <f>0+16-1+1-2-1+1-1-1+1-1+1-3+3-4+4-1-1+1+1-1</f>
        <v>12</v>
      </c>
      <c r="R11" s="27">
        <f>0+7+1-1-2+2+1+1-1+1-1-1+1+1-1+1</f>
        <v>9</v>
      </c>
      <c r="S11" s="27">
        <f>0+7-1+1-1+1</f>
        <v>7</v>
      </c>
      <c r="T11" s="28">
        <f t="shared" si="1"/>
        <v>313</v>
      </c>
      <c r="U11" s="13"/>
      <c r="V11" s="13"/>
      <c r="W11" s="13"/>
      <c r="X11" s="13"/>
      <c r="Y11" s="13"/>
      <c r="Z11" s="13"/>
    </row>
    <row r="12" ht="24.0" customHeight="1">
      <c r="A12" s="24" t="s">
        <v>21</v>
      </c>
      <c r="B12" s="32">
        <f>11-1-2-2+2-1-1+1+1-1+1</f>
        <v>8</v>
      </c>
      <c r="C12" s="32">
        <f>24+1+1-1-4+4-10+10-1-1+1+1-2+2-1</f>
        <v>24</v>
      </c>
      <c r="D12" s="32">
        <f>24+1+1+7-1+1+3-3-1-2+1+2-3-1+3+1-1+1-33+33-1+1-4+4-1+1-2-1+2+1-1+1-3</f>
        <v>30</v>
      </c>
      <c r="E12" s="32">
        <f>25+1+1+1+1-4-2+2-1-2+1+2-3-1+3-24+26-1+1-12-1+12+1-1+1-2+2-5+5-3</f>
        <v>23</v>
      </c>
      <c r="F12" s="32">
        <f>17+1-1+1+1-2+2-1-4+4+1-1+1-1+1</f>
        <v>19</v>
      </c>
      <c r="G12" s="32">
        <f>18+1-1+1-2-2+2-1+1</f>
        <v>17</v>
      </c>
      <c r="H12" s="32">
        <f>15-1-1+1</f>
        <v>14</v>
      </c>
      <c r="I12" s="32">
        <f>4-1+1</f>
        <v>4</v>
      </c>
      <c r="J12" s="33">
        <f>7</f>
        <v>7</v>
      </c>
      <c r="K12" s="25">
        <f>13</f>
        <v>13</v>
      </c>
      <c r="L12" s="25">
        <f>39-3</f>
        <v>36</v>
      </c>
      <c r="M12" s="25">
        <f>22-1+1+4-1+1-15</f>
        <v>11</v>
      </c>
      <c r="N12" s="25">
        <f>27+33+1+2-1-1+1-1+1+1-1+2+2-1+1-34-1-2+1+2-2+2-3+3+1-1+1-28+28-1+1-1+1-6+6-2+2-1-1-1+1+1+1+1-1+1+1-20</f>
        <v>15</v>
      </c>
      <c r="O12" s="25">
        <f>25+8-1+1-1-6</f>
        <v>26</v>
      </c>
      <c r="P12" s="25">
        <f>17+4</f>
        <v>21</v>
      </c>
      <c r="Q12" s="25">
        <f>15</f>
        <v>15</v>
      </c>
      <c r="R12" s="25">
        <f>0+5-1+1+5-1-1+1+1</f>
        <v>10</v>
      </c>
      <c r="S12" s="25">
        <f>11</f>
        <v>11</v>
      </c>
      <c r="T12" s="28">
        <f t="shared" si="1"/>
        <v>304</v>
      </c>
      <c r="U12" s="13"/>
      <c r="V12" s="13"/>
      <c r="W12" s="13"/>
      <c r="X12" s="13"/>
      <c r="Y12" s="13"/>
      <c r="Z12" s="13"/>
    </row>
    <row r="13" ht="24.0" customHeight="1">
      <c r="A13" s="24" t="s">
        <v>22</v>
      </c>
      <c r="B13" s="27">
        <f>0+8-1+1-1-1-1+1-2+2-2+2-1-1+1+1-1-1+1+1</f>
        <v>6</v>
      </c>
      <c r="C13" s="27">
        <f>0+24-4+1-2-2+1+1-1+1+2+4+3-1-1-1+1+1-2+2-1+1-2+2-6+1+5-1-1-1+1+1+1+1-1+1-2-2+2+2-1+1-1+1-1+1-3-1+3+1</f>
        <v>28</v>
      </c>
      <c r="D13" s="25">
        <f>0+12+3+2-1-4-2-3-1+4+1+2+3+1-2-1-2+1+2+2-1+1+6-1+1+1+1-3-1+3-1+1-1+1-4+4-3-1+3+1-1+1-1+1-2-1-1+1+2+1-1+1-7+7</f>
        <v>24</v>
      </c>
      <c r="E13" s="25">
        <f>0+18-2+1+2-1+1-3+3-1+1+2+3-1-1+1+1-3+2+3-1+1-3-1+3+1-3-1+1+3-2+2-1+1+1-2-3-1+1+3-1+1-2-1+2-1+1+1-1-7+1+7-1+1</f>
        <v>25</v>
      </c>
      <c r="F13" s="25">
        <f>0+10+1+4-1+1-5+5-1+1-1-1+1+1-1+1-2+2-3+2+2-1-1+1+1+1-1+1-5+5+1-1</f>
        <v>17</v>
      </c>
      <c r="G13" s="25">
        <f>12+1+1</f>
        <v>14</v>
      </c>
      <c r="H13" s="25">
        <f>0+9+1-2+2-1+1+8</f>
        <v>18</v>
      </c>
      <c r="I13" s="27">
        <f>0+8-1+1</f>
        <v>8</v>
      </c>
      <c r="J13" s="27">
        <f>0+9-1-2+2</f>
        <v>8</v>
      </c>
      <c r="K13" s="27">
        <f>0+12-1</f>
        <v>11</v>
      </c>
      <c r="L13" s="27">
        <f>0+28+11-5-1+1-1+1-1+1</f>
        <v>34</v>
      </c>
      <c r="M13" s="27">
        <f>0+31-1+1+2-4+4+5-1-13+11-1+1-1+1+1-8-1+1-2-2-1+1+1</f>
        <v>25</v>
      </c>
      <c r="N13" s="29">
        <f>0+4+1-1+1</f>
        <v>5</v>
      </c>
      <c r="O13" s="27">
        <f>0+20-1-1-2+1+1-3+3+2-2+2-1+3-2+2-1+1+1-1-1-2+2</f>
        <v>21</v>
      </c>
      <c r="P13" s="27">
        <f>0+10-2-1-1-1+2+1+1+1-3+3+2-1+1-3-1+1-1+1-1+1-1</f>
        <v>8</v>
      </c>
      <c r="Q13" s="27">
        <f>0+7+3-1+1+1+1-1+1</f>
        <v>12</v>
      </c>
      <c r="R13" s="27">
        <f>0+5</f>
        <v>5</v>
      </c>
      <c r="S13" s="27">
        <f>0+3+8-7</f>
        <v>4</v>
      </c>
      <c r="T13" s="28">
        <f t="shared" si="1"/>
        <v>273</v>
      </c>
      <c r="U13" s="13"/>
      <c r="V13" s="13"/>
      <c r="W13" s="13"/>
      <c r="X13" s="13"/>
      <c r="Y13" s="13"/>
      <c r="Z13" s="13"/>
    </row>
    <row r="14" ht="24.0" customHeight="1">
      <c r="A14" s="24" t="s">
        <v>23</v>
      </c>
      <c r="B14" s="27">
        <f>11+1-1+1-1+1-1+1</f>
        <v>12</v>
      </c>
      <c r="C14" s="27">
        <f>0+21-1+1-1+1-1+1</f>
        <v>21</v>
      </c>
      <c r="D14" s="27">
        <f>0+3+1-1+1-1+1-1+1+1-1+1-1+1-2+2</f>
        <v>5</v>
      </c>
      <c r="E14" s="27">
        <f>0+16-1+1-2+2-1+1-1-1+1+1-2+2-1+1</f>
        <v>16</v>
      </c>
      <c r="F14" s="27">
        <f>0+4+2+2-3+3-3+3-1-4+4-1+1</f>
        <v>7</v>
      </c>
      <c r="G14" s="27">
        <f>0+7+1-1+1-1+1-1+1</f>
        <v>8</v>
      </c>
      <c r="H14" s="27">
        <f>0+4-1+1+1</f>
        <v>5</v>
      </c>
      <c r="I14" s="27">
        <f>0+2</f>
        <v>2</v>
      </c>
      <c r="J14" s="27">
        <f>0+3</f>
        <v>3</v>
      </c>
      <c r="K14" s="25">
        <f>13</f>
        <v>13</v>
      </c>
      <c r="L14" s="25">
        <f>18-1+1</f>
        <v>18</v>
      </c>
      <c r="M14" s="25">
        <f>17</f>
        <v>17</v>
      </c>
      <c r="N14" s="25">
        <f>16-4+4-1+1-15+4</f>
        <v>5</v>
      </c>
      <c r="O14" s="25">
        <f>20-2</f>
        <v>18</v>
      </c>
      <c r="P14" s="25">
        <f t="shared" ref="P14:Q14" si="2">7</f>
        <v>7</v>
      </c>
      <c r="Q14" s="25">
        <f t="shared" si="2"/>
        <v>7</v>
      </c>
      <c r="R14" s="25">
        <f>5</f>
        <v>5</v>
      </c>
      <c r="S14" s="25">
        <f>4</f>
        <v>4</v>
      </c>
      <c r="T14" s="28">
        <f t="shared" si="1"/>
        <v>173</v>
      </c>
      <c r="U14" s="13"/>
      <c r="V14" s="13"/>
      <c r="W14" s="13"/>
      <c r="X14" s="13"/>
      <c r="Y14" s="13"/>
      <c r="Z14" s="13"/>
    </row>
    <row r="15" ht="24.0" customHeight="1">
      <c r="A15" s="24" t="s">
        <v>24</v>
      </c>
      <c r="B15" s="32">
        <f>10-2+2-1+1-1+1-1-2+1+2</f>
        <v>10</v>
      </c>
      <c r="C15" s="32">
        <f>23-1-1+5+1+1+1-2-1+2+1-1+1-1-1+1+1+1-3+3+1-2-14+14-1-11+1+11-1-3+1+3-1+1-1+1-1+1-1-14+1+14-1+1</f>
        <v>29</v>
      </c>
      <c r="D15" s="34">
        <f>21-3+7+3-1+1-3+3-1+1-7+7+1-1-3+3+1-2+2-1-1+1-25+26-6+6-1+1-2-1+2-1+1+1+1-2+2-2+2-1+1-1-15+1+15-1+1</f>
        <v>30</v>
      </c>
      <c r="E15" s="34">
        <f>22-1-1+1</f>
        <v>21</v>
      </c>
      <c r="F15" s="34">
        <f>7-1-1+1+1-1-1-1-1-2+1-1+1+1+1+1+2+1+1-1+1-5+5-2+2-1-1+1+1-2+2-3+3-1+1</f>
        <v>9</v>
      </c>
      <c r="G15" s="34">
        <f>15</f>
        <v>15</v>
      </c>
      <c r="H15" s="34">
        <f>13</f>
        <v>13</v>
      </c>
      <c r="I15" s="32">
        <f>4-1+1+5-1+1-1+1</f>
        <v>9</v>
      </c>
      <c r="J15" s="33">
        <f>8+4</f>
        <v>12</v>
      </c>
      <c r="K15" s="27">
        <f>0+11+1+1-1+1</f>
        <v>13</v>
      </c>
      <c r="L15" s="27">
        <f>0+34+1-1-5+1-1+1-1+1-2+2-1+1</f>
        <v>30</v>
      </c>
      <c r="M15" s="27">
        <f>0+30+1-1+1+5+1-1+1+3-1+1-1+1-2+2-1+1-3+3-2-2-1-2+1+2</f>
        <v>36</v>
      </c>
      <c r="N15" s="27">
        <f>0+35+1-1+1-1+1-1+1-1+2+1+1-1+1-1+1-11-1+1+3-1+1-1+1+1-1+1</f>
        <v>32</v>
      </c>
      <c r="O15" s="27">
        <f>0+23-1+1-1+1-1+1-1+1+1+1+3-1+1-2-1+1-2+2-1+1</f>
        <v>26</v>
      </c>
      <c r="P15" s="27">
        <f>0+26-1+1-4+4-1+1+1-6-1+1-3+3-1+1-1+1-3+3-1</f>
        <v>20</v>
      </c>
      <c r="Q15" s="27">
        <f>0+11-1+1+2</f>
        <v>13</v>
      </c>
      <c r="R15" s="27">
        <f>0+4+5</f>
        <v>9</v>
      </c>
      <c r="S15" s="27">
        <f>0+7+3-3+3</f>
        <v>10</v>
      </c>
      <c r="T15" s="28">
        <f t="shared" si="1"/>
        <v>337</v>
      </c>
      <c r="U15" s="13"/>
      <c r="V15" s="13"/>
      <c r="W15" s="13"/>
      <c r="X15" s="13"/>
      <c r="Y15" s="13"/>
      <c r="Z15" s="13"/>
    </row>
    <row r="16" ht="24.0" customHeight="1">
      <c r="A16" s="24" t="s">
        <v>25</v>
      </c>
      <c r="B16" s="32">
        <f>0+7+5-1-1+1+2-2-1</f>
        <v>10</v>
      </c>
      <c r="C16" s="32">
        <f>0+31+2+1-1-1+1-11+11-1-1+1-5+5-1+1-2+2-1+1</f>
        <v>32</v>
      </c>
      <c r="D16" s="32">
        <f>0+34+3-1-1+1-2+2+1-7-1+7-1+1-1+1-3-1+3-4+1+4-2+2</f>
        <v>36</v>
      </c>
      <c r="E16" s="32">
        <f>0+35+3-2+2-1+1+7-2-1+2-6-2-1+6+1-1-6+1+6-5-1-1+5+1+1</f>
        <v>42</v>
      </c>
      <c r="F16" s="32">
        <f>0+22+1-4-1-4-1+1+4+1-1+1-9-1+1-1+1-2-2+2-1+1-2+2-1+1+1-1</f>
        <v>8</v>
      </c>
      <c r="G16" s="32">
        <f>0+20-2+2-1+1+1-1+1-1+1-1+1</f>
        <v>21</v>
      </c>
      <c r="H16" s="32">
        <f>10-7</f>
        <v>3</v>
      </c>
      <c r="I16" s="32">
        <f>0+9</f>
        <v>9</v>
      </c>
      <c r="J16" s="32">
        <f>0+8</f>
        <v>8</v>
      </c>
      <c r="K16" s="27">
        <f>0+28+1-5-6+1+1-2+2</f>
        <v>20</v>
      </c>
      <c r="L16" s="27">
        <f>0+38+10-1-9+9-5+5-9-1+9+1-2+2-1+1-1+1-2+2-7+2+7</f>
        <v>49</v>
      </c>
      <c r="M16" s="27">
        <f>0+30+3+2+21-1+1-1-2+1+2+1-21+21-1+1-11+11-1+1+1-3-21+3-1+1-4+4-3+3-1-9+2+9+1-1</f>
        <v>38</v>
      </c>
      <c r="N16" s="27">
        <f>0+1+3+1-1+25+1-1+1-1+1-1+1-25-1+1+25-2+2-1-9+1-1+9+1+1-1+1-1-10+1-6-1+6+1-1+1+1-1+1-9+9-1+1</f>
        <v>22</v>
      </c>
      <c r="O16" s="27">
        <f>0+38+3+4+1-1+10+1-4+4+2-15+10-1+1-3+3+1-3-10+3-1+1-3+3-8+2+1+8</f>
        <v>47</v>
      </c>
      <c r="P16" s="27">
        <f>0+17+6-1-1-5+1-1-1+1+1+1-1+1</f>
        <v>18</v>
      </c>
      <c r="Q16" s="27">
        <f>0+31+1+2</f>
        <v>34</v>
      </c>
      <c r="R16" s="27">
        <f>0+12</f>
        <v>12</v>
      </c>
      <c r="S16" s="27">
        <f>0+5</f>
        <v>5</v>
      </c>
      <c r="T16" s="28">
        <f t="shared" si="1"/>
        <v>414</v>
      </c>
      <c r="U16" s="13"/>
      <c r="V16" s="13"/>
      <c r="W16" s="13"/>
      <c r="X16" s="13"/>
      <c r="Y16" s="13"/>
      <c r="Z16" s="13"/>
    </row>
    <row r="17" ht="24.0" customHeight="1">
      <c r="A17" s="24" t="s">
        <v>26</v>
      </c>
      <c r="B17" s="32">
        <f>1+32-1+1-1+1+5-2+2-1+1</f>
        <v>38</v>
      </c>
      <c r="C17" s="32">
        <f>0+40+32+1+4-2+2-2+2-33-4+4-5-1+1-4-5+4+5-1-1+1-2+2-1+1+1</f>
        <v>39</v>
      </c>
      <c r="D17" s="32">
        <f>0+32-1+1-3-1+3+1-1+1-1+1+1-1-5+1+5-2+2-3-5+3-2-1+2+5+1-2-1-1+1+1+1-1+1-1-2+2+1-1-1+1</f>
        <v>31</v>
      </c>
      <c r="E17" s="32">
        <f>38-1+1-2+2-1-3+1+3-1+1-1-1-1+1-1+1-2+2+1</f>
        <v>37</v>
      </c>
      <c r="F17" s="32">
        <f>0+21+3-2+2-2+2-1+1-1-2+1</f>
        <v>22</v>
      </c>
      <c r="G17" s="32">
        <f>0+23-2+2+1-1+1-1-2+2+1</f>
        <v>24</v>
      </c>
      <c r="H17" s="32">
        <f>0+15-1+1-1+1-2+2</f>
        <v>15</v>
      </c>
      <c r="I17" s="32">
        <f>0</f>
        <v>0</v>
      </c>
      <c r="J17" s="32">
        <f>0+9+1</f>
        <v>10</v>
      </c>
      <c r="K17" s="25">
        <f>0+20+1-1+1-2+2</f>
        <v>21</v>
      </c>
      <c r="L17" s="25">
        <f>0+46+1-1+1-2+2-1+1-1+1-15-2-1+2+1-2+2-4+4-15+1-1+12+1-2+2</f>
        <v>30</v>
      </c>
      <c r="M17" s="27">
        <f>0+31+2-2+2-2+2-1+1-1-1+1-1+1-1-1-1+1-10+1-2-1-1+1+2+10-1+1+1+1-3-1+1-2+2-15-1+1-2-2-1-1+1+2-1-2+1-1+2-10+1+10-4+4-11+9+4-1+1</f>
        <v>13</v>
      </c>
      <c r="N17" s="27">
        <f>0+27+2-1+1-1+1+1-1+1-2-3+2+3-1-1+1-5-1-2-1+1+2+1-1-15-1+1+1+1-1-2+2-1+1-6-1+6+1-1+5-13+13-2+1-2+2</f>
        <v>12</v>
      </c>
      <c r="O17" s="27">
        <f>0+24+1-1+1-1+1-1+1-4+4-1+1-1+1-3-1+3+1-3-1+3+1-4+4-8-16+15+8-2+2</f>
        <v>24</v>
      </c>
      <c r="P17" s="25">
        <f>0+17+2-3-6+6-1+1-1+1-4-1+4-4+4</f>
        <v>15</v>
      </c>
      <c r="Q17" s="25">
        <f>0+13+2-1+1+2-1+1-2-1+1</f>
        <v>15</v>
      </c>
      <c r="R17" s="25">
        <f>0+14+2-1+1-3-1+1</f>
        <v>13</v>
      </c>
      <c r="S17" s="27">
        <f>8</f>
        <v>8</v>
      </c>
      <c r="T17" s="28">
        <f t="shared" si="1"/>
        <v>367</v>
      </c>
      <c r="U17" s="13"/>
      <c r="V17" s="13" t="s">
        <v>0</v>
      </c>
      <c r="W17" s="13"/>
      <c r="X17" s="13"/>
      <c r="Y17" s="13"/>
      <c r="Z17" s="13"/>
    </row>
    <row r="18" ht="24.0" customHeight="1">
      <c r="A18" s="24" t="s">
        <v>27</v>
      </c>
      <c r="B18" s="32">
        <f>0+15-1+1-1+1-1+1-1-1+1+1-1</f>
        <v>14</v>
      </c>
      <c r="C18" s="32">
        <f>0+20+2-1+1-1+1-1+1+1-2+2-1+1-1+1-1-1+1+1-1+1-1+1-1+1-1-1+1-1-1-1-1+1+1</f>
        <v>20</v>
      </c>
      <c r="D18" s="32">
        <f>0+25+1-1-2+1+2+1+1-1+1-1-1+1+1-3-1+3+2-10+10-1+1-2+2+1-1+1-5+5-1-4+4+1+1-3+3-1+1+1+1-1+1-1</f>
        <v>32</v>
      </c>
      <c r="E18" s="32">
        <f>0+35+1-1+1+1+1-2+2-1+1-1+1-1+1-3-2+3-1+1-1+1-1+1-1-1+1+1-1+1-3+3-1+1-4+4-1</f>
        <v>35</v>
      </c>
      <c r="F18" s="32">
        <f>0+7+1-2+1+2-1-1+1+1-1+1-1+1+1-3+3-2+2-2+2-1-1+1+1-1+1-1+1-1+1-1-1</f>
        <v>8</v>
      </c>
      <c r="G18" s="32">
        <f>0+6+10-2+2</f>
        <v>16</v>
      </c>
      <c r="H18" s="32">
        <f>0+25-2+2-1+1</f>
        <v>25</v>
      </c>
      <c r="I18" s="32">
        <f>0+5</f>
        <v>5</v>
      </c>
      <c r="J18" s="32">
        <f>0+5-2-1+1</f>
        <v>3</v>
      </c>
      <c r="K18" s="25">
        <f>0+7+1+4+1-1-1-1+1+1</f>
        <v>12</v>
      </c>
      <c r="L18" s="25">
        <f>31-1</f>
        <v>30</v>
      </c>
      <c r="M18" s="25">
        <f>29-1-1+1+1-1</f>
        <v>28</v>
      </c>
      <c r="N18" s="25">
        <f>21-1+1-1</f>
        <v>20</v>
      </c>
      <c r="O18" s="25">
        <f>18-1</f>
        <v>17</v>
      </c>
      <c r="P18" s="25">
        <f t="shared" ref="P18:Q18" si="3">17</f>
        <v>17</v>
      </c>
      <c r="Q18" s="25">
        <f t="shared" si="3"/>
        <v>17</v>
      </c>
      <c r="R18" s="27">
        <f>0+2+3-1+1-3+3-1+1-1+1-3</f>
        <v>2</v>
      </c>
      <c r="S18" s="25">
        <f>0+7-1+1+1+2-1+1</f>
        <v>10</v>
      </c>
      <c r="T18" s="28">
        <f t="shared" si="1"/>
        <v>311</v>
      </c>
      <c r="U18" s="13"/>
      <c r="V18" s="13"/>
      <c r="W18" s="13"/>
      <c r="X18" s="13"/>
      <c r="Y18" s="13"/>
      <c r="Z18" s="13"/>
    </row>
    <row r="19" ht="24.0" customHeight="1">
      <c r="A19" s="24" t="s">
        <v>28</v>
      </c>
      <c r="B19" s="32">
        <f>0+10-2+2-1+1</f>
        <v>10</v>
      </c>
      <c r="C19" s="32">
        <f>0+20+2-1-1-4+12-2+2-1+1-3+3</f>
        <v>28</v>
      </c>
      <c r="D19" s="32">
        <f>0+23+1+6-2+2-8-1-1+1-1+1-14+14-1-1+1-1+1+1+1-1-1+1+1-1+1-1</f>
        <v>21</v>
      </c>
      <c r="E19" s="32">
        <f>0+16+1+6-1+1-1+1-8+8-2+2-2+2+1-3+3+1-1</f>
        <v>24</v>
      </c>
      <c r="F19" s="32">
        <f>0+5+6-1+1-1+1-1+1</f>
        <v>11</v>
      </c>
      <c r="G19" s="32">
        <f>0+8+1-2+2-1+1</f>
        <v>9</v>
      </c>
      <c r="H19" s="32">
        <f>0+7-1+1+1</f>
        <v>8</v>
      </c>
      <c r="I19" s="32">
        <f>0+3+1-1+1-1+1-1+1</f>
        <v>4</v>
      </c>
      <c r="J19" s="32">
        <f>0+3-1+1-1+1</f>
        <v>3</v>
      </c>
      <c r="K19" s="25">
        <f>0+12-1</f>
        <v>11</v>
      </c>
      <c r="L19" s="25">
        <f>0+32+1-4+6-2+2-3+3-15-1+1</f>
        <v>20</v>
      </c>
      <c r="M19" s="25">
        <f>0+34-8+13+1-3+3-1+1-1+1-3-1+1+3-2+2-15-1+1-1+1-1+1-1+1-1+1</f>
        <v>25</v>
      </c>
      <c r="N19" s="30">
        <f>18-1+1+1</f>
        <v>19</v>
      </c>
      <c r="O19" s="25">
        <f>0+27+3+1-4+2-1+1-3+3-1+1-2-1+2+1-1+1</f>
        <v>29</v>
      </c>
      <c r="P19" s="25">
        <f>0+14+2+1-2+2-1+1-1+1-1+1</f>
        <v>17</v>
      </c>
      <c r="Q19" s="25">
        <f>0+12-1</f>
        <v>11</v>
      </c>
      <c r="R19" s="25">
        <f>0+12-3</f>
        <v>9</v>
      </c>
      <c r="S19" s="25">
        <f>0+7+3</f>
        <v>10</v>
      </c>
      <c r="T19" s="28">
        <f t="shared" si="1"/>
        <v>269</v>
      </c>
      <c r="U19" s="13"/>
      <c r="V19" s="13"/>
      <c r="W19" s="13"/>
      <c r="X19" s="13"/>
      <c r="Y19" s="13"/>
      <c r="Z19" s="13"/>
    </row>
    <row r="20" ht="24.0" customHeight="1">
      <c r="A20" s="24" t="s">
        <v>29</v>
      </c>
      <c r="B20" s="32">
        <f>0+14+1-1+1-1+1-1+1-1</f>
        <v>14</v>
      </c>
      <c r="C20" s="32">
        <f>0+28-1-1-1+1+1-1+1-2-1+2+1-1+1+1+1-1-2+2+1+1</f>
        <v>30</v>
      </c>
      <c r="D20" s="32">
        <f>0+29+1-1+1-1+1-1+1+1-1+1-1+1-1-1+1-1+1-1-1</f>
        <v>28</v>
      </c>
      <c r="E20" s="32">
        <f>0+24-1+1-1+1+1-1+1-1+1-1+1-1+1-1+1-2-1</f>
        <v>22</v>
      </c>
      <c r="F20" s="32">
        <f>0+23-1+1-1+1+1-1+1-2+2-1-1+1-1+1</f>
        <v>23</v>
      </c>
      <c r="G20" s="32">
        <f>0+24+1-1-1+1-1+1</f>
        <v>24</v>
      </c>
      <c r="H20" s="32">
        <f>0+16-1+1-1</f>
        <v>15</v>
      </c>
      <c r="I20" s="32">
        <f>0+4+1</f>
        <v>5</v>
      </c>
      <c r="J20" s="32">
        <f>0+4</f>
        <v>4</v>
      </c>
      <c r="K20" s="25">
        <f>0+21</f>
        <v>21</v>
      </c>
      <c r="L20" s="25">
        <f>21+15-1+1</f>
        <v>36</v>
      </c>
      <c r="M20" s="25">
        <f>3+25-1-3+1+3+4-1+1</f>
        <v>32</v>
      </c>
      <c r="N20" s="27">
        <f>0+36+1-1+25-1+1+1-2+2-2+2-2-37+25-1+1-1+1-1+1-1+1-1+1-1-1+1-1-21-1-24+19+1-3+1+2+3+1</f>
        <v>24</v>
      </c>
      <c r="O20" s="27">
        <f>0+17+1+10-2+2-9+10-1-1+1-1+1-1+1-18-10+10+8</f>
        <v>18</v>
      </c>
      <c r="P20" s="25">
        <f>13+1-1+4</f>
        <v>17</v>
      </c>
      <c r="Q20" s="25">
        <f>11</f>
        <v>11</v>
      </c>
      <c r="R20" s="25">
        <f>0+10-1+1-1+1</f>
        <v>10</v>
      </c>
      <c r="S20" s="25">
        <f>0+10-1+1</f>
        <v>10</v>
      </c>
      <c r="T20" s="28">
        <f t="shared" si="1"/>
        <v>344</v>
      </c>
      <c r="U20" s="13"/>
      <c r="V20" s="13"/>
      <c r="W20" s="13"/>
      <c r="X20" s="13"/>
      <c r="Y20" s="13"/>
      <c r="Z20" s="13"/>
    </row>
    <row r="21" ht="24.0" customHeight="1">
      <c r="A21" s="24" t="s">
        <v>30</v>
      </c>
      <c r="B21" s="32">
        <f>0+10+2-1+1-1+1-2+2-3</f>
        <v>9</v>
      </c>
      <c r="C21" s="32">
        <f>0+48+9-1+1+2-2+2-3-1+3+1-1+1-1</f>
        <v>58</v>
      </c>
      <c r="D21" s="32">
        <f>0+43+6-6+6-6-1-1+1-1-1+1+1-1+1-1-1-1+1+1+1</f>
        <v>42</v>
      </c>
      <c r="E21" s="32">
        <f>0+33+6-6+6-3+3-1+1</f>
        <v>39</v>
      </c>
      <c r="F21" s="32">
        <f>0+5+6-6+6+2-1+1</f>
        <v>13</v>
      </c>
      <c r="G21" s="35">
        <f>1</f>
        <v>1</v>
      </c>
      <c r="H21" s="32">
        <f>0+36-1+1+1-1+1</f>
        <v>37</v>
      </c>
      <c r="I21" s="32">
        <f>0+6-1+1</f>
        <v>6</v>
      </c>
      <c r="J21" s="32">
        <f>0+6</f>
        <v>6</v>
      </c>
      <c r="K21" s="27">
        <f>0+14+10-10-2+2</f>
        <v>14</v>
      </c>
      <c r="L21" s="27">
        <f>0+50+2-2+2-7-25-2</f>
        <v>18</v>
      </c>
      <c r="M21" s="27">
        <f>0+25+5-5+5-5-1+1-3+3+1-2+2+1-1+1-1+1-1+1+1-1+1</f>
        <v>28</v>
      </c>
      <c r="N21" s="27">
        <f>0+30-1+2+1-2+2+2+1-1+1-1+1-2+2-21-6+6</f>
        <v>14</v>
      </c>
      <c r="O21" s="27">
        <f>0+21+4-4+4+1-1+1-1+1-1+1-2+2-1</f>
        <v>25</v>
      </c>
      <c r="P21" s="27">
        <f>0+23-5-1+1-1+1</f>
        <v>18</v>
      </c>
      <c r="Q21" s="29" t="s">
        <v>0</v>
      </c>
      <c r="R21" s="27">
        <f>0+3-1</f>
        <v>2</v>
      </c>
      <c r="S21" s="36">
        <f>0+6</f>
        <v>6</v>
      </c>
      <c r="T21" s="28">
        <f t="shared" si="1"/>
        <v>336</v>
      </c>
      <c r="U21" s="37"/>
      <c r="V21" s="13"/>
      <c r="W21" s="13"/>
      <c r="X21" s="13"/>
      <c r="Y21" s="13"/>
      <c r="Z21" s="13"/>
    </row>
    <row r="22" ht="24.0" customHeight="1">
      <c r="A22" s="24" t="s">
        <v>31</v>
      </c>
      <c r="B22" s="32">
        <f>13+1</f>
        <v>14</v>
      </c>
      <c r="C22" s="32">
        <f>25+1-4-15-2+2</f>
        <v>7</v>
      </c>
      <c r="D22" s="32">
        <f>24-1+1-1+1-4+4-1+1-1+1+1+2</f>
        <v>27</v>
      </c>
      <c r="E22" s="32">
        <f>30+1+1-4-6+5-1+1-1+1-3-1+3+1-1+1</f>
        <v>27</v>
      </c>
      <c r="F22" s="32">
        <f>9+5+1-1-4+11-1+1-1+1-1+1-2+2</f>
        <v>21</v>
      </c>
      <c r="G22" s="35">
        <f>9</f>
        <v>9</v>
      </c>
      <c r="H22" s="32">
        <f>12+5</f>
        <v>17</v>
      </c>
      <c r="I22" s="32">
        <f>7</f>
        <v>7</v>
      </c>
      <c r="J22" s="33">
        <f>6-4</f>
        <v>2</v>
      </c>
      <c r="K22" s="27">
        <f>0+18-1+1-1+1+1</f>
        <v>19</v>
      </c>
      <c r="L22" s="27">
        <f>0+31+1-12+13-3+3-1-1+1+1+1</f>
        <v>34</v>
      </c>
      <c r="M22" s="27">
        <f>0+38-1+1-4+4-18+18-7+7-1+1+1-1+1+1</f>
        <v>40</v>
      </c>
      <c r="N22" s="27">
        <f>0+34+6-6+6-14+14-8+8+1-1-1+1+1+1-1+1+1</f>
        <v>43</v>
      </c>
      <c r="O22" s="27">
        <f>0+28-5+5-20+20-6+6-2+2-1-1-1+1+1+1</f>
        <v>28</v>
      </c>
      <c r="P22" s="27">
        <f>0+18+1-3+3-1+1+1-2+2-1+1+1</f>
        <v>21</v>
      </c>
      <c r="Q22" s="27">
        <f>0+15-1</f>
        <v>14</v>
      </c>
      <c r="R22" s="27">
        <f t="shared" ref="R22:S22" si="4">0+5</f>
        <v>5</v>
      </c>
      <c r="S22" s="27">
        <f t="shared" si="4"/>
        <v>5</v>
      </c>
      <c r="T22" s="28">
        <f t="shared" si="1"/>
        <v>340</v>
      </c>
      <c r="U22" s="37"/>
      <c r="V22" s="13"/>
      <c r="W22" s="13"/>
      <c r="X22" s="13"/>
      <c r="Y22" s="13"/>
      <c r="Z22" s="13"/>
    </row>
    <row r="23" ht="26.25" customHeight="1">
      <c r="A23" s="24" t="s">
        <v>32</v>
      </c>
      <c r="B23" s="32">
        <f>0+12-1+1+1-1+1-1</f>
        <v>12</v>
      </c>
      <c r="C23" s="32">
        <f>0+15+1-2+2-9+10-1+1-1+1-1-1+1</f>
        <v>16</v>
      </c>
      <c r="D23" s="32">
        <f>0+30-1+1-2+2-1+1-1+1+1-4-4+4-1-2+2-2</f>
        <v>24</v>
      </c>
      <c r="E23" s="32">
        <f>0+14+1-1+1-2+2-1+1-1+1-1-7-7+7-1+1-1++1</f>
        <v>7</v>
      </c>
      <c r="F23" s="32">
        <f>0+16-1+1-1+1-1+1-2-1-2+2-1-1-1+1</f>
        <v>11</v>
      </c>
      <c r="G23" s="32">
        <f>0+12+3-1+1-1+1</f>
        <v>15</v>
      </c>
      <c r="H23" s="32">
        <f>0+15-1+1</f>
        <v>15</v>
      </c>
      <c r="I23" s="32">
        <f>0+7-1+1-5+1-2+2</f>
        <v>3</v>
      </c>
      <c r="J23" s="32">
        <f>0+7-1+1</f>
        <v>7</v>
      </c>
      <c r="K23" s="25">
        <f>12</f>
        <v>12</v>
      </c>
      <c r="L23" s="25">
        <f>15-1</f>
        <v>14</v>
      </c>
      <c r="M23" s="25">
        <f>15-1+1+4</f>
        <v>19</v>
      </c>
      <c r="N23" s="25">
        <f>22+1-1+1</f>
        <v>23</v>
      </c>
      <c r="O23" s="25">
        <f>6+8</f>
        <v>14</v>
      </c>
      <c r="P23" s="25">
        <f>0+24-1+2-15-1+1-4+4-1</f>
        <v>9</v>
      </c>
      <c r="Q23" s="25">
        <f>16-1+1</f>
        <v>16</v>
      </c>
      <c r="R23" s="25">
        <f>11-1+1</f>
        <v>11</v>
      </c>
      <c r="S23" s="25">
        <f>0+3-1+1-1+1+1-1-1+1+1+1</f>
        <v>5</v>
      </c>
      <c r="T23" s="28">
        <f t="shared" si="1"/>
        <v>233</v>
      </c>
      <c r="U23" s="37"/>
      <c r="V23" s="13"/>
      <c r="W23" s="13"/>
      <c r="X23" s="13"/>
      <c r="Y23" s="13"/>
      <c r="Z23" s="13"/>
    </row>
    <row r="24" ht="24.0" customHeight="1">
      <c r="A24" s="24" t="s">
        <v>33</v>
      </c>
      <c r="B24" s="32">
        <f>0+13-1+1-1+1-1+1-2+1-2+2-1+1+1-1+1-1+1-2+2</f>
        <v>13</v>
      </c>
      <c r="C24" s="32">
        <f>0+10+2-2-1-1+2+1-5+5-1+1-3+3-1+1-1+1-1+1-5+1+5-3-1+3-2+1+2+2-1+1-1-1-1+1-1+1+1-1+1-1+1-1+1-1-1+1</f>
        <v>12</v>
      </c>
      <c r="D24" s="32">
        <f>0+24+1-2+2-1-2+1+2-1-5+1+5-2+2-1-1+1+1-2+2-3-1+3+1-2-2+2-3+2+3-1+3-4+1+4-3+1-1+3+1-1+1-1-4-3+3+4-4+4-1+1-1-1-1+1-1+1+1-2-1+2-1+1-1</f>
        <v>25</v>
      </c>
      <c r="E24" s="32">
        <f>16+1+1-1-1+1-1+1+1-5+5-1+1-1+9+1-1-1+1-1-3+1+3-1-5-1+1+5-1+1+1-3+1-3+3+3-1-3+1+3-1-1+1+1-1-1+1+1-1-6+1-2-1+2+6-1+1-1+1-1-1+1+1-1-1-1+1+1+1+1-1+1-1-6+1+6+1</f>
        <v>28</v>
      </c>
      <c r="F24" s="32">
        <f>12+4-1-1+1-3-1+3+1-1+1-1+1+1-1+1-2-1+2+2+1-1-2-1+1+1+2+1+1-1+1+1-1+1-1-5+5-2+1-1-1+1-1-1+1+1-1-1-15+1-1-1-1+15-1+1+1+1-2</f>
        <v>14</v>
      </c>
      <c r="G24" s="32">
        <f>20+1-1+1-4+4-1+1+2-1+3+1+1-2+1+1-1+2+1+1-1+1-1+1-1+1-2</f>
        <v>28</v>
      </c>
      <c r="H24" s="32">
        <f>12-3-1+1-1-1-1+1-1+1+1-1-1</f>
        <v>6</v>
      </c>
      <c r="I24" s="32">
        <f>6-1+1-1+1-1+1-1-5+1+5-1+1-1</f>
        <v>5</v>
      </c>
      <c r="J24" s="33">
        <f>5-5+5-3-1+1+1</f>
        <v>3</v>
      </c>
      <c r="K24" s="27">
        <f>0+17-1+2-1-1+1-1+1+1</f>
        <v>18</v>
      </c>
      <c r="L24" s="27">
        <f>0+22-1+1+1-2-12+12+20-1+1-1+1-2+2-1+1-1+1-1+1-1+1</f>
        <v>41</v>
      </c>
      <c r="M24" s="27">
        <f>0+31+4-1+1+1-1-1-1+1+1-3+3-2-33+33-1+1-1+1+1-4+4-1+1-7+7-1+1-2+2-2+2-1+1-1+1</f>
        <v>34</v>
      </c>
      <c r="N24" s="27">
        <f>0+39-1+1+1-2-3+3-1-28+28-2-1+1+1-2+2-2+2-4+4-1+1-1+1-1-2+2-1+1-1+1-2+1+2-1+1</f>
        <v>36</v>
      </c>
      <c r="O24" s="27">
        <f>34-1-2+1+2-1+1-2+1+2-1-21+21-1+1+1-1+1+1+1-1+1+1-2+2-2+2-3-1+2+1-1-1+1</f>
        <v>36</v>
      </c>
      <c r="P24" s="27">
        <f>0+15+1-1+1+1-1+1-4+4-1+1-1+1+1-2+2-1-1-1+1+1+1-1+1-1+1-3+3-1+1-1+1</f>
        <v>18</v>
      </c>
      <c r="Q24" s="27">
        <f>0+13-4+4+1-1+1-1+1</f>
        <v>14</v>
      </c>
      <c r="R24" s="27">
        <f>0+8-1+1+1</f>
        <v>9</v>
      </c>
      <c r="S24" s="27">
        <f>0+10</f>
        <v>10</v>
      </c>
      <c r="T24" s="28">
        <f t="shared" si="1"/>
        <v>350</v>
      </c>
      <c r="U24" s="37"/>
      <c r="V24" s="13"/>
      <c r="W24" s="13"/>
      <c r="X24" s="13"/>
      <c r="Y24" s="13"/>
      <c r="Z24" s="13"/>
    </row>
    <row r="25" ht="24.0" customHeight="1">
      <c r="A25" s="38" t="s">
        <v>34</v>
      </c>
      <c r="B25" s="39">
        <f>0+12+2-1-1+1+1-1+1-4+4+1</f>
        <v>15</v>
      </c>
      <c r="C25" s="39">
        <f>0+15-1+1+1-2-2-1+2+1-1+1-3+3-3+1+1+1-1+1-1+1-1-1+1+1-1+1-1+1-1+2-1-2+1-3+2+3-7+7-1+1-2+2-1+1-1-1+1-1</f>
        <v>13</v>
      </c>
      <c r="D25" s="39">
        <f>0+23-1+1-1+1-4-1+4-2+2+5-1+1-1+1+1+2-1-1+1-1+1-1+1-1-2+1+1-4+2+4-9+9-3+3-1+1+1-2-1-1</f>
        <v>27</v>
      </c>
      <c r="E25" s="39">
        <f>0+17-1+1-1-2+2+1-1-1+1-4+4+1-2+2-2+2-1-1+1+1+1-1+1+1+3-1-2+1-3+2+3-3+3+1-1+1-3+3</f>
        <v>23</v>
      </c>
      <c r="F25" s="39">
        <f>0+23-1-1+1+1+1-1-1+1-2-2-1+1-2+2-2-1+2+1+1+3-2+2+1-3-1+1-4+4-2+2-1-1+1-1+1+1-2</f>
        <v>19</v>
      </c>
      <c r="G25" s="39">
        <f>0+16-3+3+1+2-1-1+1-1+1-2+2-1+1</f>
        <v>18</v>
      </c>
      <c r="H25" s="39">
        <f>0+1+11-1+1+1-1+1-1+1-1+1-2</f>
        <v>11</v>
      </c>
      <c r="I25" s="39">
        <f>0+7+5</f>
        <v>12</v>
      </c>
      <c r="J25" s="39">
        <f>0+5-2+2+1</f>
        <v>6</v>
      </c>
      <c r="K25" s="27">
        <f>0+9-7+7-1-1-1+1-3+3</f>
        <v>7</v>
      </c>
      <c r="L25" s="27">
        <f>0+30-1-2-1+1+2+2-2-2+2-1-1+1-3-1+1+3-1+1-2+2-1-2+1+2-3+3-6+6-4+4-1+1-1</f>
        <v>27</v>
      </c>
      <c r="M25" s="27">
        <f>0+19+1-1-1-2+2+1-3+3-1+1-4+4+6-2+2-1+1-1+1-1+1-1+1-1-2+1+1+2-2-1-2-1+1+2+1+1-1+1-1+1-2-1+2+1-4+4-1-2-1+1-10+2+10-4+4-1+1-4+4-10+10-1+1-3-1-2+3+1-3+1-1+3-1</f>
        <v>21</v>
      </c>
      <c r="N25" s="27">
        <f>0+29-1+1+1-4+4-8-3+3+8+1-2-5+5-1+2-1+1-2+2+1-2+2-1+1-2-1+2+1+1-1+1-2+2-3+3-1+1-2+2-13+13+3-1-14+1+14-7+7-1-1+1+1-1+1-1-2+2+1-1-1</f>
        <v>33</v>
      </c>
      <c r="O25" s="27">
        <f>0+16-1+1-2-1+2+1-1+1-1+1-3+3+4-1+1-1+1-1-1-3-1+1+1+1-1-1-2+1-2+2+2-12-1-1+12-1-2+2-3+3-1+1-5-1</f>
        <v>7</v>
      </c>
      <c r="P25" s="27">
        <f>0+19+1-1+1-1-1-1-2+1-3+2+3-2+2-1-4+1+4-1+1-1-1-1</f>
        <v>15</v>
      </c>
      <c r="Q25" s="27">
        <f>0+10-1+1-4+4-7+7-1+1-2</f>
        <v>8</v>
      </c>
      <c r="R25" s="27">
        <f>0+6-1+1-1+1-1</f>
        <v>5</v>
      </c>
      <c r="S25" s="27">
        <f>0+6+1-1+1-1</f>
        <v>6</v>
      </c>
      <c r="T25" s="28">
        <f t="shared" si="1"/>
        <v>273</v>
      </c>
      <c r="U25" s="13"/>
      <c r="V25" s="13"/>
      <c r="W25" s="13"/>
      <c r="X25" s="13"/>
      <c r="Y25" s="13"/>
      <c r="Z25" s="13"/>
    </row>
    <row r="26" ht="24.0" customHeight="1">
      <c r="A26" s="38" t="s">
        <v>35</v>
      </c>
      <c r="B26" s="39">
        <f>10-1+1-1+1+1-2+1-1+2-1+1-1+1-1-4+1+4-2+2-1+1-1+1-1+1</f>
        <v>11</v>
      </c>
      <c r="C26" s="39">
        <f>13-1+1-1-1-1+3-1+1-3+3-6+6-1+1-2+2-1+1-1-2+1+2-1-1+1+1-3+3-1+1-1+1</f>
        <v>13</v>
      </c>
      <c r="D26" s="39">
        <f>15-1+1+1-1-2+1+2+5-1-1-1+1+1+1+1-1+1+5+3-3-1+1-2-1+2+1-1-17-1+17+1-3+3-1+1-1+1-2-4+4-1-1+1+1+1+2-1-1+1-1-1-1</f>
        <v>23</v>
      </c>
      <c r="E26" s="39">
        <f>8-1+1-1+1+3-1+1+1-1-1+1-1+1+1-6-4+4+1-1-1+1-8+10-1+1+8+1-3+3-1+1-1+1-5-2+5+2-1+1-1-1+1+1-1+1-1+1-1</f>
        <v>16</v>
      </c>
      <c r="F26" s="39">
        <f>12+1-1-1+1-4-1+1-1+1-2-1+2-4+4-6+6+1-1+1-1+1-1-1</f>
        <v>6</v>
      </c>
      <c r="G26" s="39">
        <f>10-1+1+1-1+1-2+2+1-2-1+2+1-2+1</f>
        <v>11</v>
      </c>
      <c r="H26" s="39">
        <f>15-1-1+1-3+3-1+1-1</f>
        <v>13</v>
      </c>
      <c r="I26" s="39">
        <f>6-1+1+1-1-3+3+1</f>
        <v>7</v>
      </c>
      <c r="J26" s="40">
        <f>5</f>
        <v>5</v>
      </c>
      <c r="K26" s="25">
        <f>10-1</f>
        <v>9</v>
      </c>
      <c r="L26" s="25">
        <f>0+25-1+1+2+2-2+2-1+1-5+5-1+1-6+6-1+1</f>
        <v>29</v>
      </c>
      <c r="M26" s="25">
        <f>0+17-1+1+2-1-2+1+2+2-3+3-2+2-7-1+6+1+1-1+1-1+1-1+1-1+1-8+8-6+6-1</f>
        <v>20</v>
      </c>
      <c r="N26" s="25">
        <f>0+17+1+4-1+1+4+4-1+1-2+2-1-1+1+1-1+1-1+1-12+12-1+1-2-3+3</f>
        <v>28</v>
      </c>
      <c r="O26" s="25">
        <f>25-1-6+6</f>
        <v>24</v>
      </c>
      <c r="P26" s="25">
        <f>0+17-1+1+1-1-6+6</f>
        <v>17</v>
      </c>
      <c r="Q26" s="30">
        <f>11</f>
        <v>11</v>
      </c>
      <c r="R26" s="27">
        <f t="shared" ref="R26:S26" si="5">0+6</f>
        <v>6</v>
      </c>
      <c r="S26" s="27">
        <f t="shared" si="5"/>
        <v>6</v>
      </c>
      <c r="T26" s="28">
        <f t="shared" si="1"/>
        <v>255</v>
      </c>
      <c r="U26" s="13"/>
      <c r="V26" s="13"/>
      <c r="W26" s="13"/>
      <c r="X26" s="13"/>
      <c r="Y26" s="13"/>
      <c r="Z26" s="13"/>
    </row>
    <row r="27" ht="24.0" customHeight="1">
      <c r="A27" s="38" t="s">
        <v>36</v>
      </c>
      <c r="B27" s="39">
        <f>0+23-15+1</f>
        <v>9</v>
      </c>
      <c r="C27" s="39">
        <f>0+11-5+2+8-3+3</f>
        <v>16</v>
      </c>
      <c r="D27" s="39">
        <f>0+36-7+7-15-10+10+2</f>
        <v>23</v>
      </c>
      <c r="E27" s="39">
        <f>0+21-3+3-1-1+1+1</f>
        <v>21</v>
      </c>
      <c r="F27" s="39">
        <f>0+7</f>
        <v>7</v>
      </c>
      <c r="G27" s="39">
        <f>0+15</f>
        <v>15</v>
      </c>
      <c r="H27" s="39">
        <f>0+13</f>
        <v>13</v>
      </c>
      <c r="I27" s="39">
        <f>0+8</f>
        <v>8</v>
      </c>
      <c r="J27" s="39">
        <f>0+7</f>
        <v>7</v>
      </c>
      <c r="K27" s="27">
        <f>0+10-1</f>
        <v>9</v>
      </c>
      <c r="L27" s="27">
        <f>0+30-3+3</f>
        <v>30</v>
      </c>
      <c r="M27" s="27">
        <f>0+27-3+3-1+1+1-10+10-2-2</f>
        <v>24</v>
      </c>
      <c r="N27" s="27">
        <f>0+25+1-4+4+1-1+1</f>
        <v>27</v>
      </c>
      <c r="O27" s="27">
        <f>0+9-6+6+17-3+3</f>
        <v>26</v>
      </c>
      <c r="P27" s="27">
        <f>0+5</f>
        <v>5</v>
      </c>
      <c r="Q27" s="27">
        <f t="shared" ref="Q27:S27" si="6">0+3</f>
        <v>3</v>
      </c>
      <c r="R27" s="27">
        <f t="shared" si="6"/>
        <v>3</v>
      </c>
      <c r="S27" s="27">
        <f t="shared" si="6"/>
        <v>3</v>
      </c>
      <c r="T27" s="28">
        <f t="shared" si="1"/>
        <v>249</v>
      </c>
      <c r="U27" s="13"/>
      <c r="V27" s="13"/>
      <c r="W27" s="13"/>
      <c r="X27" s="13"/>
      <c r="Y27" s="13"/>
      <c r="Z27" s="13"/>
    </row>
    <row r="28" ht="24.0" customHeight="1">
      <c r="A28" s="38" t="s">
        <v>37</v>
      </c>
      <c r="B28" s="39">
        <f>0+4-1-1+1+1-1+1-1+1-4+4-1+1-1+1-1+1</f>
        <v>4</v>
      </c>
      <c r="C28" s="39">
        <f>0+3+1-2+1+1-2-1+1+2-2+2+1-3+1+3-2-4+4-2+1+2-1-1+1-1-2+1+2-1+1-1+1-1+1</f>
        <v>4</v>
      </c>
      <c r="D28" s="39">
        <f>0+5+1-5+2+1+3-1-1+1+1-2+2-1-6+1+1+6-1-1+1+1-1-1+1-1+1-1-6+1+6+1-1+1-2+2-1+1-1+1</f>
        <v>8</v>
      </c>
      <c r="E28" s="39">
        <f>0+3+1-4+2-1+1+1+1-1+1-3+1-2+2+3-2+2-2+2-4+4-5+5-1+1-2+2-2+2-1+1-2-1+2+1</f>
        <v>5</v>
      </c>
      <c r="F28" s="39">
        <f>0+4+1-4+1+3-1+1-1-1+1-1-1+1+1+1-4-1+3+1-1+1-1+1-1+1-2+2-4+4+1-5+5-1+1-1+1-1+1-1+1-2+3-1+1</f>
        <v>6</v>
      </c>
      <c r="G28" s="39">
        <f>0+4-3+2+1-1+1-1+1-1-3+3+1+1-3-1+1</f>
        <v>2</v>
      </c>
      <c r="H28" s="39">
        <f>0+1-1+1+1</f>
        <v>2</v>
      </c>
      <c r="I28" s="39">
        <f t="shared" ref="I28:I29" si="7">0+3</f>
        <v>3</v>
      </c>
      <c r="J28" s="39">
        <f>0+3-1+1-1+1</f>
        <v>3</v>
      </c>
      <c r="K28" s="25">
        <f>4</f>
        <v>4</v>
      </c>
      <c r="L28" s="25">
        <f>10-1+1</f>
        <v>10</v>
      </c>
      <c r="M28" s="25">
        <f>0+30+1+7+1+1-1-1-5+1+1+5+1-30+30-1+1-1+1-1+1-1-1</f>
        <v>39</v>
      </c>
      <c r="N28" s="25">
        <f>35-1+1</f>
        <v>35</v>
      </c>
      <c r="O28" s="25">
        <f>0+17+1+7+1-1+1-1+1-1+1-1-1+1+1+1-19-2+17-4+4-1+1</f>
        <v>23</v>
      </c>
      <c r="P28" s="25">
        <f>0+9+5+1-1+1+1-9+9-1+1-2+2-2-1+2+1</f>
        <v>16</v>
      </c>
      <c r="Q28" s="25">
        <f>0+2+3+1-1+1-2+2-1+1</f>
        <v>6</v>
      </c>
      <c r="R28" s="27">
        <f t="shared" ref="R28:R29" si="8">0+2</f>
        <v>2</v>
      </c>
      <c r="S28" s="25">
        <f t="shared" ref="S28:S29" si="9">0+3</f>
        <v>3</v>
      </c>
      <c r="T28" s="28">
        <f t="shared" si="1"/>
        <v>175</v>
      </c>
      <c r="U28" s="13"/>
      <c r="V28" s="13"/>
      <c r="W28" s="13"/>
      <c r="X28" s="13"/>
      <c r="Y28" s="13"/>
      <c r="Z28" s="13"/>
    </row>
    <row r="29" ht="24.0" customHeight="1">
      <c r="A29" s="38" t="s">
        <v>38</v>
      </c>
      <c r="B29" s="39">
        <f>0+6+B30</f>
        <v>6</v>
      </c>
      <c r="C29" s="39">
        <f>0+5-1</f>
        <v>4</v>
      </c>
      <c r="D29" s="39">
        <f>0+13-1+1-1</f>
        <v>12</v>
      </c>
      <c r="E29" s="39">
        <f>0+15+5-2+2-1+1</f>
        <v>20</v>
      </c>
      <c r="F29" s="39">
        <f>0+7-2+5</f>
        <v>10</v>
      </c>
      <c r="G29" s="39">
        <f>0+5</f>
        <v>5</v>
      </c>
      <c r="H29" s="39">
        <f>0+6-3</f>
        <v>3</v>
      </c>
      <c r="I29" s="39">
        <f t="shared" si="7"/>
        <v>3</v>
      </c>
      <c r="J29" s="41">
        <f>1+1</f>
        <v>2</v>
      </c>
      <c r="K29" s="42">
        <f>0+10+1</f>
        <v>11</v>
      </c>
      <c r="L29" s="42">
        <f>0+18-1+1+1</f>
        <v>19</v>
      </c>
      <c r="M29" s="42">
        <f>0+22</f>
        <v>22</v>
      </c>
      <c r="N29" s="42">
        <f>0+23-1-1+1+1-1-1+1-1-1</f>
        <v>20</v>
      </c>
      <c r="O29" s="42">
        <f>0+22-1+1-1+1</f>
        <v>22</v>
      </c>
      <c r="P29" s="42">
        <f>0+11-1+1</f>
        <v>11</v>
      </c>
      <c r="Q29" s="42">
        <f>0+3</f>
        <v>3</v>
      </c>
      <c r="R29" s="42">
        <f t="shared" si="8"/>
        <v>2</v>
      </c>
      <c r="S29" s="42">
        <f t="shared" si="9"/>
        <v>3</v>
      </c>
      <c r="T29" s="28">
        <f t="shared" si="1"/>
        <v>178</v>
      </c>
      <c r="U29" s="13"/>
      <c r="V29" s="13"/>
      <c r="W29" s="13"/>
      <c r="X29" s="13"/>
      <c r="Y29" s="13"/>
      <c r="Z29" s="13"/>
    </row>
    <row r="30" ht="24.0" customHeight="1">
      <c r="A30" s="43"/>
      <c r="B30" s="8"/>
      <c r="C30" s="8"/>
      <c r="D30" s="8"/>
      <c r="E30" s="8"/>
      <c r="F30" s="8"/>
      <c r="G30" s="8"/>
      <c r="H30" s="8"/>
      <c r="I30" s="8"/>
      <c r="J30" s="8"/>
      <c r="K30" s="8"/>
      <c r="L30" s="8" t="s">
        <v>0</v>
      </c>
      <c r="M30" s="8"/>
      <c r="N30" s="8"/>
      <c r="O30" s="8"/>
      <c r="P30" s="8"/>
      <c r="Q30" s="8"/>
      <c r="R30" s="8"/>
      <c r="S30" s="8"/>
      <c r="T30" s="44">
        <f>SUM(T5:T29)</f>
        <v>8194</v>
      </c>
      <c r="U30" s="13"/>
      <c r="V30" s="37"/>
      <c r="W30" s="37"/>
      <c r="X30" s="37"/>
      <c r="Y30" s="37"/>
      <c r="Z30" s="37"/>
    </row>
    <row r="31" ht="14.25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2"/>
      <c r="U31" s="13"/>
      <c r="V31" s="37"/>
      <c r="W31" s="37"/>
      <c r="X31" s="37"/>
      <c r="Y31" s="37"/>
      <c r="Z31" s="37"/>
    </row>
    <row r="32" ht="21.0" customHeight="1">
      <c r="A32" s="8"/>
      <c r="B32" s="45" t="s">
        <v>39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1"/>
      <c r="T32" s="12"/>
      <c r="U32" s="13"/>
      <c r="V32" s="37"/>
      <c r="W32" s="37"/>
      <c r="X32" s="37"/>
      <c r="Y32" s="37"/>
      <c r="Z32" s="37"/>
    </row>
    <row r="33" ht="21.0" customHeight="1">
      <c r="A33" s="8"/>
      <c r="B33" s="14" t="s">
        <v>2</v>
      </c>
      <c r="C33" s="15"/>
      <c r="D33" s="15"/>
      <c r="E33" s="15"/>
      <c r="F33" s="15"/>
      <c r="G33" s="15"/>
      <c r="H33" s="15"/>
      <c r="I33" s="15"/>
      <c r="J33" s="16"/>
      <c r="K33" s="17" t="s">
        <v>3</v>
      </c>
      <c r="L33" s="15"/>
      <c r="M33" s="15"/>
      <c r="N33" s="15"/>
      <c r="O33" s="15"/>
      <c r="P33" s="15"/>
      <c r="Q33" s="15"/>
      <c r="R33" s="15"/>
      <c r="S33" s="16"/>
      <c r="T33" s="12"/>
      <c r="U33" s="13"/>
      <c r="V33" s="37"/>
      <c r="W33" s="37"/>
      <c r="X33" s="37"/>
      <c r="Y33" s="37"/>
      <c r="Z33" s="37"/>
    </row>
    <row r="34" ht="21.0" customHeight="1">
      <c r="A34" s="18" t="s">
        <v>4</v>
      </c>
      <c r="B34" s="19" t="s">
        <v>5</v>
      </c>
      <c r="C34" s="20" t="s">
        <v>6</v>
      </c>
      <c r="D34" s="20" t="s">
        <v>7</v>
      </c>
      <c r="E34" s="20" t="s">
        <v>8</v>
      </c>
      <c r="F34" s="20" t="s">
        <v>9</v>
      </c>
      <c r="G34" s="20" t="s">
        <v>10</v>
      </c>
      <c r="H34" s="20" t="s">
        <v>11</v>
      </c>
      <c r="I34" s="20" t="s">
        <v>12</v>
      </c>
      <c r="J34" s="46" t="s">
        <v>13</v>
      </c>
      <c r="K34" s="47" t="s">
        <v>5</v>
      </c>
      <c r="L34" s="21" t="s">
        <v>6</v>
      </c>
      <c r="M34" s="21" t="s">
        <v>7</v>
      </c>
      <c r="N34" s="21" t="s">
        <v>8</v>
      </c>
      <c r="O34" s="21" t="s">
        <v>9</v>
      </c>
      <c r="P34" s="21" t="s">
        <v>10</v>
      </c>
      <c r="Q34" s="21" t="s">
        <v>11</v>
      </c>
      <c r="R34" s="21" t="s">
        <v>12</v>
      </c>
      <c r="S34" s="22" t="s">
        <v>13</v>
      </c>
      <c r="T34" s="12"/>
      <c r="U34" s="13"/>
      <c r="V34" s="37"/>
      <c r="W34" s="37"/>
      <c r="X34" s="37"/>
      <c r="Y34" s="37"/>
      <c r="Z34" s="37"/>
    </row>
    <row r="35" ht="21.0" customHeight="1">
      <c r="A35" s="24" t="s">
        <v>14</v>
      </c>
      <c r="B35" s="48">
        <f>0+2+2-1+1+1-1-1+1+2-1+1-1+1</f>
        <v>6</v>
      </c>
      <c r="C35" s="48">
        <f>0+1-1+1-1+1+1-1+1-1+1</f>
        <v>2</v>
      </c>
      <c r="D35" s="48">
        <f>0+7+2-1+1+1-1+1-8+8-1-1+1-1+1-1</f>
        <v>8</v>
      </c>
      <c r="E35" s="48">
        <f>0+8+1-1-1+1+1+1-1+1-2-1+2-1+1+1-1-2+2-1+1</f>
        <v>9</v>
      </c>
      <c r="F35" s="48">
        <f>0+6+1-1+1+1-1+1-1+1</f>
        <v>8</v>
      </c>
      <c r="G35" s="48">
        <f>0+4-1+1-1+1+1-1+1+1</f>
        <v>6</v>
      </c>
      <c r="H35" s="48">
        <f>0+1-1+1+1+4-3</f>
        <v>3</v>
      </c>
      <c r="I35" s="48">
        <f>0</f>
        <v>0</v>
      </c>
      <c r="J35" s="48">
        <f>0+5-1+1+1</f>
        <v>6</v>
      </c>
      <c r="K35" s="48">
        <f>0+6-2-1-1+1+1+1-1+1+2</f>
        <v>7</v>
      </c>
      <c r="L35" s="48">
        <f>0+16+1+1+1-1-1+1+1+1-1-2-1-4-2-1+1+1+4+2-3+3+1+1+2+1+1-1-1+1-2-2+2</f>
        <v>20</v>
      </c>
      <c r="M35" s="48">
        <f>0+14-2-1+1+1-1+1+1+1+1-5-2+5-1-2+2+1-1-3+1+2-4-9+10+5+4-2+3+2-4-1+4+2-6-1+1+1-3-10+6+3-2+2-1-6+6-3+3</f>
        <v>13</v>
      </c>
      <c r="N35" s="48">
        <f>0+20+6-1+1-1-1-1-1+1+1+1-8-1-8-1+8+8+1+1-1-1-1+1+1+1-10+10-1+1-1+1+1-2+1+3-2+1-3-4+3+4-5-1-2+2-1-1-3+3-2+2-3+3-1-1-2</f>
        <v>15</v>
      </c>
      <c r="O35" s="48">
        <f>0+9+1-2-1-1-1+1+1+1-1+1-2-2+2+2-4-2-1-1+2-2+4+1+3+3-7+7-1+2+2+1-3+3-2+2-1+1-1+1-4-3+1-1-1-3+1-1-2+2</f>
        <v>4</v>
      </c>
      <c r="P35" s="48">
        <f>0+6+2-1-1-1+1+1+1+1-3+3+1+1-2-2+2-1+1-3+3</f>
        <v>9</v>
      </c>
      <c r="Q35" s="48">
        <f>0+5-2-1+2+1+1-1-1+1+1-1+1-1+1</f>
        <v>6</v>
      </c>
      <c r="R35" s="48">
        <f>0+4-1+1-1+1+1-1+1+1</f>
        <v>6</v>
      </c>
      <c r="S35" s="48">
        <f>0+6-1+1+1-1-3+3</f>
        <v>6</v>
      </c>
      <c r="T35" s="49">
        <f t="shared" ref="T35:T41" si="11">SUM(B35:S35)</f>
        <v>134</v>
      </c>
      <c r="U35" s="13"/>
      <c r="V35" s="13"/>
      <c r="W35" s="13"/>
      <c r="X35" s="13"/>
      <c r="Y35" s="13"/>
      <c r="Z35" s="13"/>
    </row>
    <row r="36" ht="21.0" customHeight="1">
      <c r="A36" s="24" t="s">
        <v>15</v>
      </c>
      <c r="B36" s="48">
        <f>0+6-1+1</f>
        <v>6</v>
      </c>
      <c r="C36" s="48">
        <f>0+2+2-1+1+1-2-3</f>
        <v>0</v>
      </c>
      <c r="D36" s="48">
        <f>0+6-2+1-1+1-2+2</f>
        <v>5</v>
      </c>
      <c r="E36" s="48">
        <f>0+4+1-1-1+1-1+1</f>
        <v>4</v>
      </c>
      <c r="F36" s="48">
        <f>0+4+1-1</f>
        <v>4</v>
      </c>
      <c r="G36" s="48">
        <f>0+5-1</f>
        <v>4</v>
      </c>
      <c r="H36" s="48">
        <f>0+5-1+1-1</f>
        <v>4</v>
      </c>
      <c r="I36" s="48">
        <f>0+4-1+1+1</f>
        <v>5</v>
      </c>
      <c r="J36" s="48">
        <f>0+4</f>
        <v>4</v>
      </c>
      <c r="K36" s="48">
        <f>0+6+1-4+4-2-1+1</f>
        <v>5</v>
      </c>
      <c r="L36" s="48">
        <f>0+12-1-1-2+1-3+3-1-2+2-2-2+2</f>
        <v>6</v>
      </c>
      <c r="M36" s="48">
        <f>0+25-1-3+3+1-2+2+1+2+1-2+2-2-4+1-1-2+2-5+5-2-1-1+2+1+1-1+1-10+10-8+8-10-2-1</f>
        <v>10</v>
      </c>
      <c r="N36" s="48">
        <f>0+12+5+2-1-2-1+2+1-4-7+4+7-2-1-1+2+2-10+10-1-3+1-4+4-5+5-2+2-3+3-3-1+3+1-8+8-1+1-2+2-2-1+2-1-1-1</f>
        <v>11</v>
      </c>
      <c r="O36" s="48">
        <f>0+13-1+1-1-4-4-1-1+1+4+1-3-3+5-4+4-5+5-3+3-7+7-3</f>
        <v>4</v>
      </c>
      <c r="P36" s="48">
        <f>0+5+2-1+1-1+1-1-1+1+1-1+2+1-1-2+2+1-1+1-4+4-3</f>
        <v>6</v>
      </c>
      <c r="Q36" s="48">
        <f>0+5-1+1-1</f>
        <v>4</v>
      </c>
      <c r="R36" s="48">
        <f t="shared" ref="R36:S36" si="10">0+5-1+1</f>
        <v>5</v>
      </c>
      <c r="S36" s="48">
        <f t="shared" si="10"/>
        <v>5</v>
      </c>
      <c r="T36" s="50">
        <f t="shared" si="11"/>
        <v>92</v>
      </c>
      <c r="U36" s="13"/>
      <c r="V36" s="13"/>
      <c r="W36" s="13"/>
      <c r="X36" s="13"/>
      <c r="Y36" s="13"/>
      <c r="Z36" s="13"/>
    </row>
    <row r="37" ht="21.0" customHeight="1">
      <c r="A37" s="24" t="s">
        <v>40</v>
      </c>
      <c r="B37" s="48">
        <f t="shared" ref="B37:B38" si="14">0+3-1+1</f>
        <v>3</v>
      </c>
      <c r="C37" s="48">
        <f>0+3+2-1+1-1</f>
        <v>4</v>
      </c>
      <c r="D37" s="48">
        <f>0+8-1+1+1-1+1+1-1</f>
        <v>9</v>
      </c>
      <c r="E37" s="48">
        <f>0+6+1</f>
        <v>7</v>
      </c>
      <c r="F37" s="48">
        <f>0+9+1</f>
        <v>10</v>
      </c>
      <c r="G37" s="48">
        <f t="shared" ref="G37:H37" si="12">0+5</f>
        <v>5</v>
      </c>
      <c r="H37" s="48">
        <f t="shared" si="12"/>
        <v>5</v>
      </c>
      <c r="I37" s="48">
        <f>0+5-1</f>
        <v>4</v>
      </c>
      <c r="J37" s="48">
        <f>0+3+1</f>
        <v>4</v>
      </c>
      <c r="K37" s="48">
        <f>0+4-1+1-1+1+3</f>
        <v>7</v>
      </c>
      <c r="L37" s="48">
        <f>0+10-1+1-1+1+1-3+3-2+2-5</f>
        <v>6</v>
      </c>
      <c r="M37" s="48">
        <f>0+10-1+1-4+4-1+1-1+1-2+2-6+6-10+10-1-1+1+1-1+1-2+2-6+1-1-2+2-3+1</f>
        <v>2</v>
      </c>
      <c r="N37" s="48">
        <f>0+8+2-4+4-1+1-8+8-3+3-1-1-6+1+3-1+1-4+6+1+4-5+5-1+1-9+9-1-2+2-3+2-1+1</f>
        <v>11</v>
      </c>
      <c r="O37" s="48">
        <f>0+8-1+1-1+1-2+2-1-2+3-5+2-2+5-8+8-1+1-1+1+1-4-4+4-2+2</f>
        <v>5</v>
      </c>
      <c r="P37" s="48">
        <f>0+8+1-1+1-1+1+1-1+1-5</f>
        <v>5</v>
      </c>
      <c r="Q37" s="48">
        <f>0+5-1+1-3-1+1</f>
        <v>2</v>
      </c>
      <c r="R37" s="48">
        <f t="shared" ref="R37:S37" si="13">0+4</f>
        <v>4</v>
      </c>
      <c r="S37" s="48">
        <f t="shared" si="13"/>
        <v>4</v>
      </c>
      <c r="T37" s="49">
        <f t="shared" si="11"/>
        <v>97</v>
      </c>
      <c r="U37" s="13"/>
      <c r="V37" s="13"/>
      <c r="W37" s="13"/>
      <c r="X37" s="13"/>
      <c r="Y37" s="13"/>
      <c r="Z37" s="13"/>
    </row>
    <row r="38" ht="21.0" customHeight="1">
      <c r="A38" s="24" t="s">
        <v>17</v>
      </c>
      <c r="B38" s="48">
        <f t="shared" si="14"/>
        <v>3</v>
      </c>
      <c r="C38" s="48">
        <f>0+6-1+1-1+1-2+2</f>
        <v>6</v>
      </c>
      <c r="D38" s="48">
        <f>0+5-1-1+1+1-3+3-1+1</f>
        <v>5</v>
      </c>
      <c r="E38" s="48">
        <f>0+6-1+1+1-3+3-1+1+1</f>
        <v>8</v>
      </c>
      <c r="F38" s="48">
        <f>0+4-1+1+1</f>
        <v>5</v>
      </c>
      <c r="G38" s="48">
        <f t="shared" ref="G38:H38" si="15">0+3</f>
        <v>3</v>
      </c>
      <c r="H38" s="48">
        <f t="shared" si="15"/>
        <v>3</v>
      </c>
      <c r="I38" s="48">
        <f>0+1</f>
        <v>1</v>
      </c>
      <c r="J38" s="48">
        <f>0+5-1+1+1-1</f>
        <v>5</v>
      </c>
      <c r="K38" s="48">
        <f>0+5</f>
        <v>5</v>
      </c>
      <c r="L38" s="48">
        <f>0+10-2+2-5-1+1-1+1</f>
        <v>5</v>
      </c>
      <c r="M38" s="48">
        <f>0+13-2+2-1-9+9-5-1-1+1+1-1+1</f>
        <v>7</v>
      </c>
      <c r="N38" s="48">
        <f>0+10+2-1+1-1+1-1+1-1+1-10-1+10-1+1-5-1+1-1-1+1</f>
        <v>5</v>
      </c>
      <c r="O38" s="48">
        <f>0+10-4+4-4-1-1+1</f>
        <v>5</v>
      </c>
      <c r="P38" s="51">
        <f>0+9-1+1-1+1-2+2-3-2</f>
        <v>4</v>
      </c>
      <c r="Q38" s="48">
        <f>0+7-1-2</f>
        <v>4</v>
      </c>
      <c r="R38" s="48">
        <f>0+4+1-2-2</f>
        <v>1</v>
      </c>
      <c r="S38" s="48">
        <f>0+5-2</f>
        <v>3</v>
      </c>
      <c r="T38" s="49">
        <f t="shared" si="11"/>
        <v>78</v>
      </c>
      <c r="U38" s="13"/>
      <c r="V38" s="13"/>
      <c r="W38" s="13"/>
      <c r="X38" s="13"/>
      <c r="Y38" s="13"/>
      <c r="Z38" s="13"/>
    </row>
    <row r="39" ht="21.0" customHeight="1">
      <c r="A39" s="24" t="s">
        <v>18</v>
      </c>
      <c r="B39" s="48">
        <f t="shared" ref="B39:B40" si="16">0+3</f>
        <v>3</v>
      </c>
      <c r="C39" s="48">
        <f>0+4-1+1</f>
        <v>4</v>
      </c>
      <c r="D39" s="48">
        <f>0+6</f>
        <v>6</v>
      </c>
      <c r="E39" s="48">
        <f>0+5</f>
        <v>5</v>
      </c>
      <c r="F39" s="48">
        <f>0+4-1+1-1+1-1-3+1+3+3</f>
        <v>7</v>
      </c>
      <c r="G39" s="48">
        <f t="shared" ref="G39:G41" si="17">0+3</f>
        <v>3</v>
      </c>
      <c r="H39" s="48">
        <f>0+3-3</f>
        <v>0</v>
      </c>
      <c r="I39" s="48">
        <f>0+4</f>
        <v>4</v>
      </c>
      <c r="J39" s="48">
        <f>0+3</f>
        <v>3</v>
      </c>
      <c r="K39" s="48">
        <f>0+5-4+4-4</f>
        <v>1</v>
      </c>
      <c r="L39" s="48">
        <f>0+11-5+5-2+2-5-5+3</f>
        <v>4</v>
      </c>
      <c r="M39" s="48">
        <f>0+10-9+9-1+1-2+2-1-7+7+1-3-3+3-1+1-1+1-1-1</f>
        <v>5</v>
      </c>
      <c r="N39" s="48">
        <f>0+10-4+4-1+1-1-5+5+1-5-5+5-5</f>
        <v>0</v>
      </c>
      <c r="O39" s="48">
        <f>0+10-1-4-3-2+1</f>
        <v>1</v>
      </c>
      <c r="P39" s="48">
        <f>0+7+1+1-5-3+3-2</f>
        <v>2</v>
      </c>
      <c r="Q39" s="48">
        <f>0+5+1-1-3-2+2</f>
        <v>2</v>
      </c>
      <c r="R39" s="48">
        <f>0+4-2</f>
        <v>2</v>
      </c>
      <c r="S39" s="48">
        <f>0+3</f>
        <v>3</v>
      </c>
      <c r="T39" s="49">
        <f t="shared" si="11"/>
        <v>55</v>
      </c>
      <c r="U39" s="13"/>
      <c r="V39" s="13"/>
      <c r="W39" s="13"/>
      <c r="X39" s="13"/>
      <c r="Y39" s="13"/>
      <c r="Z39" s="13"/>
    </row>
    <row r="40" ht="21.0" customHeight="1">
      <c r="A40" s="24" t="s">
        <v>19</v>
      </c>
      <c r="B40" s="48">
        <f t="shared" si="16"/>
        <v>3</v>
      </c>
      <c r="C40" s="48">
        <f>0+4+3-1+1</f>
        <v>7</v>
      </c>
      <c r="D40" s="48">
        <f>0+2+3+1-1+1-1</f>
        <v>5</v>
      </c>
      <c r="E40" s="48">
        <f>0+4+3-1</f>
        <v>6</v>
      </c>
      <c r="F40" s="48">
        <f>0+2+3</f>
        <v>5</v>
      </c>
      <c r="G40" s="48">
        <f t="shared" si="17"/>
        <v>3</v>
      </c>
      <c r="H40" s="48">
        <f t="shared" ref="H40:I40" si="18">0+3</f>
        <v>3</v>
      </c>
      <c r="I40" s="48">
        <f t="shared" si="18"/>
        <v>3</v>
      </c>
      <c r="J40" s="48">
        <f>0+6-3</f>
        <v>3</v>
      </c>
      <c r="K40" s="48">
        <f>0+2+3-1+1+3</f>
        <v>8</v>
      </c>
      <c r="L40" s="48">
        <f>0+7+3-5</f>
        <v>5</v>
      </c>
      <c r="M40" s="48">
        <f>0+7+3-2+2-10+10+10-10</f>
        <v>10</v>
      </c>
      <c r="N40" s="48">
        <f>0+6+3-2+2-5+5+5-10</f>
        <v>4</v>
      </c>
      <c r="O40" s="48">
        <f>0+6+3-1+1-1+1-1+1+1-5</f>
        <v>5</v>
      </c>
      <c r="P40" s="48">
        <f>0+2+3-4+4</f>
        <v>5</v>
      </c>
      <c r="Q40" s="48">
        <f>0+6-1-2</f>
        <v>3</v>
      </c>
      <c r="R40" s="48">
        <f>0+4</f>
        <v>4</v>
      </c>
      <c r="S40" s="48">
        <f>0+1</f>
        <v>1</v>
      </c>
      <c r="T40" s="49">
        <f t="shared" si="11"/>
        <v>83</v>
      </c>
      <c r="U40" s="13"/>
      <c r="V40" s="13"/>
      <c r="W40" s="13"/>
      <c r="X40" s="13"/>
      <c r="Y40" s="13"/>
      <c r="Z40" s="13"/>
    </row>
    <row r="41" ht="21.0" customHeight="1">
      <c r="A41" s="24" t="s">
        <v>20</v>
      </c>
      <c r="B41" s="48">
        <f>0+2+1</f>
        <v>3</v>
      </c>
      <c r="C41" s="48">
        <f>0+5+1-1+1</f>
        <v>6</v>
      </c>
      <c r="D41" s="51">
        <f>0+16-1+1</f>
        <v>16</v>
      </c>
      <c r="E41" s="48">
        <f>0+3-1+1-1+1+1-1</f>
        <v>3</v>
      </c>
      <c r="F41" s="48">
        <f>0+4</f>
        <v>4</v>
      </c>
      <c r="G41" s="48">
        <f t="shared" si="17"/>
        <v>3</v>
      </c>
      <c r="H41" s="48">
        <f>0+3-1+1</f>
        <v>3</v>
      </c>
      <c r="I41" s="48">
        <f t="shared" ref="I41:J41" si="19">0+3</f>
        <v>3</v>
      </c>
      <c r="J41" s="48">
        <f t="shared" si="19"/>
        <v>3</v>
      </c>
      <c r="K41" s="48">
        <f>0+6-1+1-1+1</f>
        <v>6</v>
      </c>
      <c r="L41" s="48">
        <f>0+11-5+5-1+1+1-1+1-5+1-5+5-2+2-4-1+4+1</f>
        <v>8</v>
      </c>
      <c r="M41" s="48">
        <f>0+25-10+10-1+1-2-1+1+2+1-1+1-15-2+1-1-1+1</f>
        <v>9</v>
      </c>
      <c r="N41" s="48">
        <f>0+8-4+4+1-1+1-1+1-1+1-1-1-1-3+3-1</f>
        <v>5</v>
      </c>
      <c r="O41" s="48">
        <f>0+11-1-1+1-1-2+1+2+2+1-6</f>
        <v>7</v>
      </c>
      <c r="P41" s="48">
        <f>0+4-1+1-1+1</f>
        <v>4</v>
      </c>
      <c r="Q41" s="48">
        <f>0+4+1</f>
        <v>5</v>
      </c>
      <c r="R41" s="48">
        <f>0+4-1+1-2</f>
        <v>2</v>
      </c>
      <c r="S41" s="48">
        <f>0+4</f>
        <v>4</v>
      </c>
      <c r="T41" s="49">
        <f t="shared" si="11"/>
        <v>94</v>
      </c>
      <c r="U41" s="13"/>
      <c r="V41" s="13"/>
      <c r="W41" s="13"/>
      <c r="X41" s="13"/>
      <c r="Y41" s="13"/>
      <c r="Z41" s="13"/>
    </row>
    <row r="42" ht="21.0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44">
        <f>SUM(T35:T41)</f>
        <v>633</v>
      </c>
      <c r="U42" s="13"/>
      <c r="V42" s="13"/>
      <c r="W42" s="13"/>
      <c r="X42" s="13"/>
      <c r="Y42" s="13"/>
      <c r="Z42" s="13"/>
    </row>
    <row r="43" ht="14.25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12"/>
      <c r="U43" s="13"/>
      <c r="V43" s="13"/>
      <c r="W43" s="13"/>
      <c r="X43" s="13"/>
      <c r="Y43" s="13"/>
      <c r="Z43" s="13"/>
    </row>
    <row r="44" ht="36.75" customHeight="1">
      <c r="A44" s="53" t="s">
        <v>41</v>
      </c>
      <c r="B44" s="54"/>
      <c r="C44" s="54"/>
      <c r="D44" s="54"/>
      <c r="E44" s="54"/>
      <c r="F44" s="54"/>
      <c r="G44" s="54"/>
      <c r="H44" s="54"/>
      <c r="I44" s="54"/>
      <c r="J44" s="54"/>
      <c r="K44" s="55"/>
      <c r="L44" s="55"/>
      <c r="M44" s="55"/>
      <c r="N44" s="55"/>
      <c r="O44" s="55"/>
      <c r="P44" s="55"/>
      <c r="Q44" s="55"/>
      <c r="R44" s="55"/>
      <c r="S44" s="56"/>
      <c r="T44" s="57"/>
      <c r="U44" s="13"/>
      <c r="V44" s="13"/>
      <c r="W44" s="13"/>
      <c r="X44" s="13"/>
      <c r="Y44" s="13"/>
      <c r="Z44" s="13"/>
    </row>
    <row r="45" ht="27.75" customHeight="1">
      <c r="A45" s="58"/>
      <c r="B45" s="59" t="s">
        <v>42</v>
      </c>
      <c r="C45" s="60"/>
      <c r="D45" s="60"/>
      <c r="E45" s="60"/>
      <c r="F45" s="60"/>
      <c r="G45" s="60"/>
      <c r="H45" s="60"/>
      <c r="I45" s="60"/>
      <c r="J45" s="61"/>
      <c r="K45" s="62"/>
      <c r="L45" s="58"/>
      <c r="M45" s="58"/>
      <c r="N45" s="58"/>
      <c r="O45" s="58"/>
      <c r="P45" s="58"/>
      <c r="Q45" s="58"/>
      <c r="R45" s="58"/>
      <c r="S45" s="58"/>
      <c r="T45" s="63"/>
      <c r="U45" s="13"/>
      <c r="V45" s="13"/>
      <c r="W45" s="13"/>
      <c r="X45" s="13"/>
      <c r="Y45" s="13"/>
      <c r="Z45" s="13"/>
    </row>
    <row r="46" ht="27.75" customHeight="1">
      <c r="A46" s="18" t="s">
        <v>4</v>
      </c>
      <c r="B46" s="64" t="s">
        <v>5</v>
      </c>
      <c r="C46" s="64" t="s">
        <v>6</v>
      </c>
      <c r="D46" s="64" t="s">
        <v>7</v>
      </c>
      <c r="E46" s="64" t="s">
        <v>8</v>
      </c>
      <c r="F46" s="64" t="s">
        <v>9</v>
      </c>
      <c r="G46" s="64" t="s">
        <v>10</v>
      </c>
      <c r="H46" s="64" t="s">
        <v>11</v>
      </c>
      <c r="I46" s="64" t="s">
        <v>12</v>
      </c>
      <c r="J46" s="65" t="s">
        <v>13</v>
      </c>
      <c r="K46" s="66"/>
      <c r="L46" s="8"/>
      <c r="M46" s="8"/>
      <c r="N46" s="8"/>
      <c r="O46" s="8"/>
      <c r="P46" s="8"/>
      <c r="Q46" s="8"/>
      <c r="R46" s="8"/>
      <c r="S46" s="8"/>
      <c r="T46" s="63"/>
      <c r="U46" s="13"/>
      <c r="V46" s="13"/>
      <c r="W46" s="13"/>
      <c r="X46" s="13"/>
      <c r="Y46" s="13"/>
      <c r="Z46" s="13"/>
    </row>
    <row r="47" ht="27.75" customHeight="1">
      <c r="A47" s="24" t="s">
        <v>14</v>
      </c>
      <c r="B47" s="48">
        <f>0+4-2+2-1+1+1-3+3-1</f>
        <v>4</v>
      </c>
      <c r="C47" s="48">
        <f>0+9+3+3-3-3-1+3+1-1-1+1+1-5-1-3+1-1+3+1</f>
        <v>7</v>
      </c>
      <c r="D47" s="48">
        <f>0+4+7+7-1-3-6+1+3+6-1-1+1-1-2+1+2+1-1+1-4+4-2+2+2-1+1+1-1+1-1-4-2+2+4-3-5-4-2-1+5+2-2+1+5+2</f>
        <v>18</v>
      </c>
      <c r="E47" s="48">
        <f>0+10+2+2-1-2-2+2+2-3+3-1+1-4+4+1-1-2+2-2+2-1+1+2-1-4+1+1+1+4-1+1-1-1-2+1+1-4+4-3-1+3+1-4-2-1+2+4-1</f>
        <v>13</v>
      </c>
      <c r="F47" s="48">
        <f>0+7+1+1-2-2+2+2-1-1+1+1-1+1+1-1+1+2-3+3-1+1+1+1-2+2-1-1+1+1</f>
        <v>14</v>
      </c>
      <c r="G47" s="48">
        <f>0+5-1+1-2+2-1-1+1</f>
        <v>4</v>
      </c>
      <c r="H47" s="48">
        <f>0+4-1+1-2+2-1+1-1+1</f>
        <v>4</v>
      </c>
      <c r="I47" s="48">
        <f>0+4</f>
        <v>4</v>
      </c>
      <c r="J47" s="48">
        <f>0+3-2+2-3</f>
        <v>0</v>
      </c>
      <c r="K47" s="67">
        <f t="shared" ref="K47:K52" si="20">SUM(B47:J47)</f>
        <v>68</v>
      </c>
      <c r="L47" s="8"/>
      <c r="M47" s="8"/>
      <c r="N47" s="8"/>
      <c r="O47" s="8"/>
      <c r="P47" s="8"/>
      <c r="Q47" s="8"/>
      <c r="R47" s="8"/>
      <c r="S47" s="8"/>
      <c r="T47" s="63"/>
      <c r="U47" s="13"/>
      <c r="V47" s="13"/>
      <c r="W47" s="13"/>
      <c r="X47" s="13"/>
      <c r="Y47" s="13"/>
      <c r="Z47" s="13"/>
    </row>
    <row r="48" ht="27.75" customHeight="1">
      <c r="A48" s="24" t="s">
        <v>15</v>
      </c>
      <c r="B48" s="48">
        <f>0+3-3+3</f>
        <v>3</v>
      </c>
      <c r="C48" s="48">
        <f>0+6+3+1+2-1+1+1-1-1+1</f>
        <v>12</v>
      </c>
      <c r="D48" s="48">
        <f>0+5+7+7-1+1+1-2+1-1+1-2-2+2-2+2+2+2</f>
        <v>21</v>
      </c>
      <c r="E48" s="48">
        <f>0+8+2+2-1+1+1-1+1+1-1-2+1-1-4+2+1-2+2</f>
        <v>10</v>
      </c>
      <c r="F48" s="48">
        <f>0+9+1+1-1+1-2+2+2-2+2</f>
        <v>13</v>
      </c>
      <c r="G48" s="48">
        <f>0+6-1+1</f>
        <v>6</v>
      </c>
      <c r="H48" s="48">
        <f>0+5-1+1-1+1-1+1-1+1-1+1+1+1</f>
        <v>7</v>
      </c>
      <c r="I48" s="48">
        <f>0+4-1+1+1</f>
        <v>5</v>
      </c>
      <c r="J48" s="48">
        <f>0+4</f>
        <v>4</v>
      </c>
      <c r="K48" s="67">
        <f t="shared" si="20"/>
        <v>81</v>
      </c>
      <c r="L48" s="8"/>
      <c r="M48" s="8"/>
      <c r="N48" s="8"/>
      <c r="O48" s="8"/>
      <c r="P48" s="8"/>
      <c r="Q48" s="8"/>
      <c r="R48" s="8"/>
      <c r="S48" s="8"/>
      <c r="T48" s="63"/>
      <c r="U48" s="13"/>
      <c r="V48" s="13"/>
      <c r="W48" s="13"/>
      <c r="X48" s="13"/>
      <c r="Y48" s="13"/>
      <c r="Z48" s="13"/>
    </row>
    <row r="49" ht="27.75" customHeight="1">
      <c r="A49" s="24" t="s">
        <v>43</v>
      </c>
      <c r="B49" s="48">
        <f>0+3+1-1+3</f>
        <v>6</v>
      </c>
      <c r="C49" s="48">
        <f>0+2+3+3-1-1+1+1</f>
        <v>8</v>
      </c>
      <c r="D49" s="48">
        <f>0+4+1+6+7+1-1+1+2+1</f>
        <v>22</v>
      </c>
      <c r="E49" s="48">
        <f>0+4+2+3-1-1+1-1+1+2+1</f>
        <v>11</v>
      </c>
      <c r="F49" s="48">
        <f>0+5+1+1-1-1+1-1+1-2+2</f>
        <v>6</v>
      </c>
      <c r="G49" s="48">
        <f>0+4-1+1-1+1</f>
        <v>4</v>
      </c>
      <c r="H49" s="48">
        <f>0+4-1+1-1+1</f>
        <v>4</v>
      </c>
      <c r="I49" s="48">
        <f t="shared" ref="I49:J49" si="21">0+4</f>
        <v>4</v>
      </c>
      <c r="J49" s="48">
        <f t="shared" si="21"/>
        <v>4</v>
      </c>
      <c r="K49" s="67">
        <f t="shared" si="20"/>
        <v>69</v>
      </c>
      <c r="L49" s="8"/>
      <c r="M49" s="8"/>
      <c r="N49" s="8"/>
      <c r="O49" s="8"/>
      <c r="P49" s="8"/>
      <c r="Q49" s="8"/>
      <c r="R49" s="8"/>
      <c r="S49" s="8"/>
      <c r="T49" s="63"/>
      <c r="U49" s="13"/>
      <c r="V49" s="13"/>
      <c r="W49" s="13"/>
      <c r="X49" s="13"/>
      <c r="Y49" s="13"/>
      <c r="Z49" s="13"/>
    </row>
    <row r="50" ht="27.75" customHeight="1">
      <c r="A50" s="24" t="s">
        <v>18</v>
      </c>
      <c r="B50" s="48">
        <f>0+3-1+1-1+1-1+1-1</f>
        <v>2</v>
      </c>
      <c r="C50" s="48">
        <f>0+7-1+1+1-3+3</f>
        <v>8</v>
      </c>
      <c r="D50" s="48">
        <f>0+8-1+1-4+4-1+1+1+1-1-1+1+1+1-1+1-1+1</f>
        <v>11</v>
      </c>
      <c r="E50" s="48">
        <f>0+8-1+1+1-1+1-1+1</f>
        <v>9</v>
      </c>
      <c r="F50" s="48">
        <f>0+5-2+2-1+1-1+1</f>
        <v>5</v>
      </c>
      <c r="G50" s="48">
        <f>0+7-3-1+1+1</f>
        <v>5</v>
      </c>
      <c r="H50" s="48">
        <f>0+1+2-1+1-1+1+1-1</f>
        <v>3</v>
      </c>
      <c r="I50" s="48">
        <f t="shared" ref="I50:I51" si="22">0+4</f>
        <v>4</v>
      </c>
      <c r="J50" s="48">
        <f>0+4-1+1+1</f>
        <v>5</v>
      </c>
      <c r="K50" s="67">
        <f t="shared" si="20"/>
        <v>52</v>
      </c>
      <c r="L50" s="8"/>
      <c r="M50" s="8"/>
      <c r="N50" s="8"/>
      <c r="O50" s="8"/>
      <c r="P50" s="8"/>
      <c r="Q50" s="8"/>
      <c r="R50" s="8"/>
      <c r="S50" s="8"/>
      <c r="T50" s="63"/>
      <c r="U50" s="13"/>
      <c r="V50" s="13"/>
      <c r="W50" s="13"/>
      <c r="X50" s="13"/>
      <c r="Y50" s="13"/>
      <c r="Z50" s="13"/>
    </row>
    <row r="51" ht="27.75" customHeight="1">
      <c r="A51" s="24" t="s">
        <v>19</v>
      </c>
      <c r="B51" s="48">
        <f>0+2-1+1-1</f>
        <v>1</v>
      </c>
      <c r="C51" s="48">
        <f>0+2-1+1-1+3-1+1-2+2-2+4</f>
        <v>6</v>
      </c>
      <c r="D51" s="48">
        <f>0+1+1+1+1-1+1-3+3-2-1+2+1-2+2-3+2</f>
        <v>3</v>
      </c>
      <c r="E51" s="48">
        <f>0+1-1+2-1+1-2+3</f>
        <v>3</v>
      </c>
      <c r="F51" s="48">
        <f>0+5-1</f>
        <v>4</v>
      </c>
      <c r="G51" s="48">
        <f>0+3-1+1+1-1+1-1</f>
        <v>3</v>
      </c>
      <c r="H51" s="48">
        <f>0+4+1</f>
        <v>5</v>
      </c>
      <c r="I51" s="48">
        <f t="shared" si="22"/>
        <v>4</v>
      </c>
      <c r="J51" s="48">
        <f>0+4</f>
        <v>4</v>
      </c>
      <c r="K51" s="67">
        <f t="shared" si="20"/>
        <v>33</v>
      </c>
      <c r="L51" s="8"/>
      <c r="M51" s="8"/>
      <c r="N51" s="8"/>
      <c r="O51" s="8"/>
      <c r="P51" s="8"/>
      <c r="Q51" s="8"/>
      <c r="R51" s="8"/>
      <c r="S51" s="8"/>
      <c r="T51" s="63"/>
      <c r="U51" s="13"/>
      <c r="V51" s="13"/>
      <c r="W51" s="13"/>
      <c r="X51" s="13"/>
      <c r="Y51" s="13"/>
      <c r="Z51" s="13"/>
    </row>
    <row r="52" ht="27.75" customHeight="1">
      <c r="A52" s="24" t="s">
        <v>20</v>
      </c>
      <c r="B52" s="48">
        <f>0+5-1+1+1</f>
        <v>6</v>
      </c>
      <c r="C52" s="48">
        <f>0+10-3-1+1-2+2</f>
        <v>7</v>
      </c>
      <c r="D52" s="48">
        <f>0+11-1+1-4+4-1-1+1-1+1-2+2</f>
        <v>10</v>
      </c>
      <c r="E52" s="48">
        <f>0+8-1+1</f>
        <v>8</v>
      </c>
      <c r="F52" s="48">
        <f>0+16-2+2-7+7-1+1-1+1</f>
        <v>16</v>
      </c>
      <c r="G52" s="48">
        <f>0+4-1+1-1+1</f>
        <v>4</v>
      </c>
      <c r="H52" s="48">
        <f>0+5-1+1-1+1+1</f>
        <v>6</v>
      </c>
      <c r="I52" s="48">
        <f>0+4+1</f>
        <v>5</v>
      </c>
      <c r="J52" s="48">
        <f>0+4-1+1</f>
        <v>4</v>
      </c>
      <c r="K52" s="68">
        <f t="shared" si="20"/>
        <v>66</v>
      </c>
      <c r="L52" s="8"/>
      <c r="M52" s="8"/>
      <c r="N52" s="8"/>
      <c r="O52" s="8"/>
      <c r="P52" s="8"/>
      <c r="Q52" s="8"/>
      <c r="R52" s="8"/>
      <c r="S52" s="8"/>
      <c r="T52" s="63"/>
      <c r="U52" s="13"/>
      <c r="V52" s="13"/>
      <c r="W52" s="13"/>
      <c r="X52" s="13"/>
      <c r="Y52" s="13"/>
      <c r="Z52" s="13"/>
    </row>
    <row r="53" ht="19.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69">
        <f>SUM(K47:K52)</f>
        <v>369</v>
      </c>
      <c r="L53" s="70"/>
      <c r="M53" s="8"/>
      <c r="N53" s="8"/>
      <c r="O53" s="8"/>
      <c r="P53" s="8"/>
      <c r="Q53" s="8"/>
      <c r="R53" s="8"/>
      <c r="S53" s="8"/>
      <c r="T53" s="63"/>
      <c r="U53" s="13"/>
      <c r="V53" s="13"/>
      <c r="W53" s="13"/>
      <c r="X53" s="13"/>
      <c r="Y53" s="13"/>
      <c r="Z53" s="13"/>
    </row>
    <row r="54" ht="14.2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2"/>
      <c r="U54" s="13"/>
      <c r="V54" s="13"/>
      <c r="W54" s="13"/>
      <c r="X54" s="13"/>
      <c r="Y54" s="13"/>
      <c r="Z54" s="13"/>
    </row>
    <row r="55" ht="14.2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12"/>
      <c r="U55" s="13"/>
      <c r="V55" s="13"/>
      <c r="W55" s="13"/>
      <c r="X55" s="13"/>
      <c r="Y55" s="13"/>
      <c r="Z55" s="13"/>
    </row>
    <row r="56" ht="14.2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12"/>
      <c r="U56" s="13"/>
      <c r="V56" s="13"/>
      <c r="W56" s="13"/>
      <c r="X56" s="13"/>
      <c r="Y56" s="13"/>
      <c r="Z56" s="13"/>
    </row>
    <row r="57" ht="14.2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12"/>
      <c r="U57" s="13"/>
      <c r="V57" s="13"/>
      <c r="W57" s="13"/>
      <c r="X57" s="13"/>
      <c r="Y57" s="13"/>
      <c r="Z57" s="13"/>
    </row>
    <row r="58" ht="14.2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2"/>
      <c r="U58" s="13"/>
      <c r="V58" s="13"/>
      <c r="W58" s="13"/>
      <c r="X58" s="13"/>
      <c r="Y58" s="13"/>
      <c r="Z58" s="13"/>
    </row>
    <row r="59" ht="14.2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2"/>
      <c r="U59" s="13"/>
      <c r="V59" s="13"/>
      <c r="W59" s="13"/>
      <c r="X59" s="13"/>
      <c r="Y59" s="13"/>
      <c r="Z59" s="13"/>
    </row>
    <row r="60" ht="14.2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71"/>
      <c r="Q60" s="8"/>
      <c r="R60" s="8"/>
      <c r="S60" s="8"/>
      <c r="T60" s="12"/>
      <c r="U60" s="13"/>
      <c r="V60" s="13"/>
      <c r="W60" s="13"/>
      <c r="X60" s="13"/>
      <c r="Y60" s="13"/>
      <c r="Z60" s="13"/>
    </row>
    <row r="61" ht="14.2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2"/>
      <c r="U61" s="13"/>
      <c r="V61" s="13"/>
      <c r="W61" s="13"/>
      <c r="X61" s="13"/>
      <c r="Y61" s="13"/>
      <c r="Z61" s="13"/>
    </row>
    <row r="62" ht="14.25" customHeight="1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72"/>
      <c r="U62" s="13"/>
      <c r="V62" s="13"/>
      <c r="W62" s="13"/>
      <c r="X62" s="13"/>
      <c r="Y62" s="13"/>
      <c r="Z62" s="13"/>
    </row>
    <row r="63" ht="14.25" customHeight="1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72"/>
      <c r="U63" s="13"/>
      <c r="V63" s="13"/>
      <c r="W63" s="13"/>
      <c r="X63" s="13"/>
      <c r="Y63" s="13"/>
      <c r="Z63" s="13"/>
    </row>
    <row r="64" ht="14.25" customHeight="1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72"/>
      <c r="U64" s="13"/>
      <c r="V64" s="13"/>
      <c r="W64" s="13"/>
      <c r="X64" s="13"/>
      <c r="Y64" s="13"/>
      <c r="Z64" s="13"/>
    </row>
    <row r="65" ht="14.25" customHeight="1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72"/>
      <c r="U65" s="13"/>
      <c r="V65" s="13"/>
      <c r="W65" s="13"/>
      <c r="X65" s="13"/>
      <c r="Y65" s="13"/>
      <c r="Z65" s="13"/>
    </row>
    <row r="66" ht="14.25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72"/>
      <c r="U66" s="13"/>
      <c r="V66" s="13"/>
      <c r="W66" s="13"/>
      <c r="X66" s="13"/>
      <c r="Y66" s="13"/>
      <c r="Z66" s="13"/>
    </row>
    <row r="67" ht="14.25" customHeight="1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72"/>
      <c r="U67" s="13"/>
      <c r="V67" s="13"/>
      <c r="W67" s="13"/>
      <c r="X67" s="13"/>
      <c r="Y67" s="13"/>
      <c r="Z67" s="13"/>
    </row>
    <row r="68" ht="14.25" customHeight="1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72"/>
      <c r="U68" s="13"/>
      <c r="V68" s="13"/>
      <c r="W68" s="13"/>
      <c r="X68" s="13"/>
      <c r="Y68" s="13"/>
      <c r="Z68" s="13"/>
    </row>
    <row r="69" ht="14.25" customHeight="1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72"/>
      <c r="U69" s="13"/>
      <c r="V69" s="13"/>
      <c r="W69" s="13"/>
      <c r="X69" s="13"/>
      <c r="Y69" s="13"/>
      <c r="Z69" s="13"/>
    </row>
    <row r="70" ht="14.25" customHeight="1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72"/>
      <c r="U70" s="13"/>
      <c r="V70" s="13"/>
      <c r="W70" s="13"/>
      <c r="X70" s="13"/>
      <c r="Y70" s="13"/>
      <c r="Z70" s="13"/>
    </row>
    <row r="71" ht="14.25" customHeight="1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72"/>
      <c r="U71" s="13"/>
      <c r="V71" s="13"/>
      <c r="W71" s="13"/>
      <c r="X71" s="13"/>
      <c r="Y71" s="13"/>
      <c r="Z71" s="13"/>
    </row>
    <row r="72" ht="14.25" customHeight="1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72"/>
      <c r="U72" s="13"/>
      <c r="V72" s="13"/>
      <c r="W72" s="13"/>
      <c r="X72" s="13"/>
      <c r="Y72" s="13"/>
      <c r="Z72" s="13"/>
    </row>
    <row r="73" ht="14.25" customHeight="1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72"/>
      <c r="U73" s="13"/>
      <c r="V73" s="13"/>
      <c r="W73" s="13"/>
      <c r="X73" s="13"/>
      <c r="Y73" s="13"/>
      <c r="Z73" s="13"/>
    </row>
    <row r="74" ht="14.25" customHeight="1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72"/>
      <c r="U74" s="13"/>
      <c r="V74" s="13"/>
      <c r="W74" s="13"/>
      <c r="X74" s="13"/>
      <c r="Y74" s="13"/>
      <c r="Z74" s="13"/>
    </row>
    <row r="75" ht="14.25" customHeight="1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72"/>
      <c r="U75" s="13"/>
      <c r="V75" s="13"/>
      <c r="W75" s="13"/>
      <c r="X75" s="13"/>
      <c r="Y75" s="13"/>
      <c r="Z75" s="13"/>
    </row>
    <row r="76" ht="14.25" customHeight="1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72"/>
      <c r="U76" s="13"/>
      <c r="V76" s="13"/>
      <c r="W76" s="13"/>
      <c r="X76" s="13"/>
      <c r="Y76" s="13"/>
      <c r="Z76" s="13"/>
    </row>
    <row r="77" ht="14.25" customHeight="1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72"/>
      <c r="U77" s="13"/>
      <c r="V77" s="13"/>
      <c r="W77" s="13"/>
      <c r="X77" s="13"/>
      <c r="Y77" s="13"/>
      <c r="Z77" s="13"/>
    </row>
    <row r="78" ht="14.25" customHeight="1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72"/>
      <c r="U78" s="13"/>
      <c r="V78" s="13"/>
      <c r="W78" s="13"/>
      <c r="X78" s="13"/>
      <c r="Y78" s="13"/>
      <c r="Z78" s="13"/>
    </row>
    <row r="79" ht="14.25" customHeight="1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72"/>
      <c r="U79" s="13"/>
      <c r="V79" s="13"/>
      <c r="W79" s="13"/>
      <c r="X79" s="13"/>
      <c r="Y79" s="13"/>
      <c r="Z79" s="13"/>
    </row>
    <row r="80" ht="14.25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72"/>
      <c r="U80" s="13"/>
      <c r="V80" s="13"/>
      <c r="W80" s="13"/>
      <c r="X80" s="13"/>
      <c r="Y80" s="13"/>
      <c r="Z80" s="13"/>
    </row>
    <row r="81" ht="14.25" customHeight="1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72"/>
      <c r="U81" s="13"/>
      <c r="V81" s="13"/>
      <c r="W81" s="13"/>
      <c r="X81" s="13"/>
      <c r="Y81" s="13"/>
      <c r="Z81" s="13"/>
    </row>
    <row r="82" ht="14.25" customHeight="1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72"/>
      <c r="U82" s="13"/>
      <c r="V82" s="13"/>
      <c r="W82" s="13"/>
      <c r="X82" s="13"/>
      <c r="Y82" s="13"/>
      <c r="Z82" s="13"/>
    </row>
    <row r="83" ht="14.25" customHeight="1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72"/>
      <c r="U83" s="13"/>
      <c r="V83" s="13"/>
      <c r="W83" s="13"/>
      <c r="X83" s="13"/>
      <c r="Y83" s="13"/>
      <c r="Z83" s="13"/>
    </row>
    <row r="84" ht="14.25" customHeight="1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72"/>
      <c r="U84" s="13"/>
      <c r="V84" s="13"/>
      <c r="W84" s="13"/>
      <c r="X84" s="13"/>
      <c r="Y84" s="13"/>
      <c r="Z84" s="13"/>
    </row>
    <row r="85" ht="14.25" customHeight="1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72"/>
      <c r="U85" s="13"/>
      <c r="V85" s="13"/>
      <c r="W85" s="13"/>
      <c r="X85" s="13"/>
      <c r="Y85" s="13"/>
      <c r="Z85" s="13"/>
    </row>
    <row r="86" ht="14.25" customHeight="1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72"/>
      <c r="U86" s="13"/>
      <c r="V86" s="13"/>
      <c r="W86" s="13"/>
      <c r="X86" s="13"/>
      <c r="Y86" s="13"/>
      <c r="Z86" s="13"/>
    </row>
    <row r="87" ht="14.25" customHeight="1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72"/>
      <c r="U87" s="13"/>
      <c r="V87" s="13"/>
      <c r="W87" s="13"/>
      <c r="X87" s="13"/>
      <c r="Y87" s="13"/>
      <c r="Z87" s="13"/>
    </row>
    <row r="88" ht="14.25" customHeight="1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72"/>
      <c r="U88" s="13"/>
      <c r="V88" s="13"/>
      <c r="W88" s="13"/>
      <c r="X88" s="13"/>
      <c r="Y88" s="13"/>
      <c r="Z88" s="13"/>
    </row>
    <row r="89" ht="14.25" customHeight="1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72"/>
      <c r="U89" s="13"/>
      <c r="V89" s="13"/>
      <c r="W89" s="13"/>
      <c r="X89" s="13"/>
      <c r="Y89" s="13"/>
      <c r="Z89" s="13"/>
    </row>
    <row r="90" ht="14.25" customHeight="1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72"/>
      <c r="U90" s="13"/>
      <c r="V90" s="13"/>
      <c r="W90" s="13"/>
      <c r="X90" s="13"/>
      <c r="Y90" s="13"/>
      <c r="Z90" s="13"/>
    </row>
    <row r="91" ht="14.25" customHeight="1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72"/>
      <c r="U91" s="13"/>
      <c r="V91" s="13"/>
      <c r="W91" s="13"/>
      <c r="X91" s="13"/>
      <c r="Y91" s="13"/>
      <c r="Z91" s="13"/>
    </row>
    <row r="92" ht="14.25" customHeight="1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72"/>
      <c r="U92" s="13"/>
      <c r="V92" s="13"/>
      <c r="W92" s="13"/>
      <c r="X92" s="13"/>
      <c r="Y92" s="13"/>
      <c r="Z92" s="13"/>
    </row>
    <row r="93" ht="14.25" customHeight="1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72"/>
      <c r="U93" s="13"/>
      <c r="V93" s="13"/>
      <c r="W93" s="13"/>
      <c r="X93" s="13"/>
      <c r="Y93" s="13"/>
      <c r="Z93" s="13"/>
    </row>
    <row r="94" ht="14.25" customHeight="1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72"/>
      <c r="U94" s="13"/>
      <c r="V94" s="13"/>
      <c r="W94" s="13"/>
      <c r="X94" s="13"/>
      <c r="Y94" s="13"/>
      <c r="Z94" s="13"/>
    </row>
    <row r="95" ht="14.25" customHeight="1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72"/>
      <c r="U95" s="13"/>
      <c r="V95" s="13"/>
      <c r="W95" s="13"/>
      <c r="X95" s="13"/>
      <c r="Y95" s="13"/>
      <c r="Z95" s="13"/>
    </row>
    <row r="96" ht="14.25" customHeight="1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72"/>
      <c r="U96" s="13"/>
      <c r="V96" s="13"/>
      <c r="W96" s="13"/>
      <c r="X96" s="13"/>
      <c r="Y96" s="13"/>
      <c r="Z96" s="13"/>
    </row>
    <row r="97" ht="14.25" customHeight="1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72"/>
      <c r="U97" s="13"/>
      <c r="V97" s="13"/>
      <c r="W97" s="13"/>
      <c r="X97" s="13"/>
      <c r="Y97" s="13"/>
      <c r="Z97" s="13"/>
    </row>
    <row r="98" ht="14.25" customHeight="1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72"/>
      <c r="U98" s="13"/>
      <c r="V98" s="13"/>
      <c r="W98" s="13"/>
      <c r="X98" s="13"/>
      <c r="Y98" s="13"/>
      <c r="Z98" s="13"/>
    </row>
    <row r="99" ht="14.25" customHeight="1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72"/>
      <c r="U99" s="13"/>
      <c r="V99" s="13"/>
      <c r="W99" s="13"/>
      <c r="X99" s="13"/>
      <c r="Y99" s="13"/>
      <c r="Z99" s="13"/>
    </row>
    <row r="100" ht="14.25" customHeight="1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72"/>
      <c r="U100" s="13"/>
      <c r="V100" s="13"/>
      <c r="W100" s="13"/>
      <c r="X100" s="13"/>
      <c r="Y100" s="13"/>
      <c r="Z100" s="13"/>
    </row>
    <row r="101" ht="14.25" customHeight="1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72"/>
      <c r="U101" s="13"/>
      <c r="V101" s="13"/>
      <c r="W101" s="13"/>
      <c r="X101" s="13"/>
      <c r="Y101" s="13"/>
      <c r="Z101" s="13"/>
    </row>
    <row r="102" ht="14.25" customHeight="1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72"/>
      <c r="U102" s="13"/>
      <c r="V102" s="13"/>
      <c r="W102" s="13"/>
      <c r="X102" s="13"/>
      <c r="Y102" s="13"/>
      <c r="Z102" s="13"/>
    </row>
    <row r="103" ht="14.25" customHeight="1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72"/>
      <c r="U103" s="13"/>
      <c r="V103" s="13"/>
      <c r="W103" s="13"/>
      <c r="X103" s="13"/>
      <c r="Y103" s="13"/>
      <c r="Z103" s="13"/>
    </row>
    <row r="104" ht="14.25" customHeight="1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72"/>
      <c r="U104" s="13"/>
      <c r="V104" s="13"/>
      <c r="W104" s="13"/>
      <c r="X104" s="13"/>
      <c r="Y104" s="13"/>
      <c r="Z104" s="13"/>
    </row>
    <row r="105" ht="14.25" customHeight="1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72"/>
      <c r="U105" s="13"/>
      <c r="V105" s="13"/>
      <c r="W105" s="13"/>
      <c r="X105" s="13"/>
      <c r="Y105" s="13"/>
      <c r="Z105" s="13"/>
    </row>
    <row r="106" ht="14.25" customHeight="1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72"/>
      <c r="U106" s="13"/>
      <c r="V106" s="13"/>
      <c r="W106" s="13"/>
      <c r="X106" s="13"/>
      <c r="Y106" s="13"/>
      <c r="Z106" s="13"/>
    </row>
    <row r="107" ht="14.25" customHeight="1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72"/>
      <c r="U107" s="13"/>
      <c r="V107" s="13"/>
      <c r="W107" s="13"/>
      <c r="X107" s="13"/>
      <c r="Y107" s="13"/>
      <c r="Z107" s="13"/>
    </row>
    <row r="108" ht="14.25" customHeight="1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72"/>
      <c r="U108" s="13"/>
      <c r="V108" s="13"/>
      <c r="W108" s="13"/>
      <c r="X108" s="13"/>
      <c r="Y108" s="13"/>
      <c r="Z108" s="13"/>
    </row>
    <row r="109" ht="14.25" customHeight="1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72"/>
      <c r="U109" s="13"/>
      <c r="V109" s="13"/>
      <c r="W109" s="13"/>
      <c r="X109" s="13"/>
      <c r="Y109" s="13"/>
      <c r="Z109" s="13"/>
    </row>
    <row r="110" ht="14.25" customHeight="1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72"/>
      <c r="U110" s="13"/>
      <c r="V110" s="13"/>
      <c r="W110" s="13"/>
      <c r="X110" s="13"/>
      <c r="Y110" s="13"/>
      <c r="Z110" s="13"/>
    </row>
    <row r="111" ht="14.25" customHeight="1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72"/>
      <c r="U111" s="13"/>
      <c r="V111" s="13"/>
      <c r="W111" s="13"/>
      <c r="X111" s="13"/>
      <c r="Y111" s="13"/>
      <c r="Z111" s="13"/>
    </row>
    <row r="112" ht="14.25" customHeight="1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72"/>
      <c r="U112" s="13"/>
      <c r="V112" s="13"/>
      <c r="W112" s="13"/>
      <c r="X112" s="13"/>
      <c r="Y112" s="13"/>
      <c r="Z112" s="13"/>
    </row>
    <row r="113" ht="14.25" customHeight="1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72"/>
      <c r="U113" s="13"/>
      <c r="V113" s="13"/>
      <c r="W113" s="13"/>
      <c r="X113" s="13"/>
      <c r="Y113" s="13"/>
      <c r="Z113" s="13"/>
    </row>
    <row r="114" ht="14.25" customHeight="1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72"/>
      <c r="U114" s="13"/>
      <c r="V114" s="13"/>
      <c r="W114" s="13"/>
      <c r="X114" s="13"/>
      <c r="Y114" s="13"/>
      <c r="Z114" s="13"/>
    </row>
    <row r="115" ht="14.25" customHeight="1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72"/>
      <c r="U115" s="13"/>
      <c r="V115" s="13"/>
      <c r="W115" s="13"/>
      <c r="X115" s="13"/>
      <c r="Y115" s="13"/>
      <c r="Z115" s="13"/>
    </row>
    <row r="116" ht="14.25" customHeight="1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72"/>
      <c r="U116" s="13"/>
      <c r="V116" s="13"/>
      <c r="W116" s="13"/>
      <c r="X116" s="13"/>
      <c r="Y116" s="13"/>
      <c r="Z116" s="13"/>
    </row>
    <row r="117" ht="14.25" customHeight="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72"/>
      <c r="U117" s="13"/>
      <c r="V117" s="13"/>
      <c r="W117" s="13"/>
      <c r="X117" s="13"/>
      <c r="Y117" s="13"/>
      <c r="Z117" s="13"/>
    </row>
    <row r="118" ht="14.25" customHeight="1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72"/>
      <c r="U118" s="13"/>
      <c r="V118" s="13"/>
      <c r="W118" s="13"/>
      <c r="X118" s="13"/>
      <c r="Y118" s="13"/>
      <c r="Z118" s="13"/>
    </row>
    <row r="119" ht="14.25" customHeight="1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72"/>
      <c r="U119" s="13"/>
      <c r="V119" s="13"/>
      <c r="W119" s="13"/>
      <c r="X119" s="13"/>
      <c r="Y119" s="13"/>
      <c r="Z119" s="13"/>
    </row>
    <row r="120" ht="14.25" customHeight="1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72"/>
      <c r="U120" s="13"/>
      <c r="V120" s="13"/>
      <c r="W120" s="13"/>
      <c r="X120" s="13"/>
      <c r="Y120" s="13"/>
      <c r="Z120" s="13"/>
    </row>
    <row r="121" ht="14.25" customHeight="1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72"/>
      <c r="U121" s="13"/>
      <c r="V121" s="13"/>
      <c r="W121" s="13"/>
      <c r="X121" s="13"/>
      <c r="Y121" s="13"/>
      <c r="Z121" s="13"/>
    </row>
    <row r="122" ht="14.25" customHeight="1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72"/>
      <c r="U122" s="13"/>
      <c r="V122" s="13"/>
      <c r="W122" s="13"/>
      <c r="X122" s="13"/>
      <c r="Y122" s="13"/>
      <c r="Z122" s="13"/>
    </row>
    <row r="123" ht="14.25" customHeight="1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72"/>
      <c r="U123" s="13"/>
      <c r="V123" s="13"/>
      <c r="W123" s="13"/>
      <c r="X123" s="13"/>
      <c r="Y123" s="13"/>
      <c r="Z123" s="13"/>
    </row>
    <row r="124" ht="14.25" customHeight="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72"/>
      <c r="U124" s="13"/>
      <c r="V124" s="13"/>
      <c r="W124" s="13"/>
      <c r="X124" s="13"/>
      <c r="Y124" s="13"/>
      <c r="Z124" s="13"/>
    </row>
    <row r="125" ht="14.25" customHeight="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72"/>
      <c r="U125" s="13"/>
      <c r="V125" s="13"/>
      <c r="W125" s="13"/>
      <c r="X125" s="13"/>
      <c r="Y125" s="13"/>
      <c r="Z125" s="13"/>
    </row>
    <row r="126" ht="14.25" customHeight="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72"/>
      <c r="U126" s="13"/>
      <c r="V126" s="13"/>
      <c r="W126" s="13"/>
      <c r="X126" s="13"/>
      <c r="Y126" s="13"/>
      <c r="Z126" s="13"/>
    </row>
    <row r="127" ht="14.25" customHeight="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72"/>
      <c r="U127" s="13"/>
      <c r="V127" s="13"/>
      <c r="W127" s="13"/>
      <c r="X127" s="13"/>
      <c r="Y127" s="13"/>
      <c r="Z127" s="13"/>
    </row>
    <row r="128" ht="14.25" customHeight="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72"/>
      <c r="U128" s="13"/>
      <c r="V128" s="13"/>
      <c r="W128" s="13"/>
      <c r="X128" s="13"/>
      <c r="Y128" s="13"/>
      <c r="Z128" s="13"/>
    </row>
    <row r="129" ht="14.25" customHeight="1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72"/>
      <c r="U129" s="13"/>
      <c r="V129" s="13"/>
      <c r="W129" s="13"/>
      <c r="X129" s="13"/>
      <c r="Y129" s="13"/>
      <c r="Z129" s="13"/>
    </row>
    <row r="130" ht="14.25" customHeight="1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72"/>
      <c r="U130" s="13"/>
      <c r="V130" s="13"/>
      <c r="W130" s="13"/>
      <c r="X130" s="13"/>
      <c r="Y130" s="13"/>
      <c r="Z130" s="13"/>
    </row>
    <row r="131" ht="14.25" customHeight="1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72"/>
      <c r="U131" s="13"/>
      <c r="V131" s="13"/>
      <c r="W131" s="13"/>
      <c r="X131" s="13"/>
      <c r="Y131" s="13"/>
      <c r="Z131" s="13"/>
    </row>
    <row r="132" ht="14.25" customHeight="1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72"/>
      <c r="U132" s="13"/>
      <c r="V132" s="13"/>
      <c r="W132" s="13"/>
      <c r="X132" s="13"/>
      <c r="Y132" s="13"/>
      <c r="Z132" s="13"/>
    </row>
    <row r="133" ht="14.25" customHeight="1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72"/>
      <c r="U133" s="13"/>
      <c r="V133" s="13"/>
      <c r="W133" s="13"/>
      <c r="X133" s="13"/>
      <c r="Y133" s="13"/>
      <c r="Z133" s="13"/>
    </row>
    <row r="134" ht="14.25" customHeight="1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72"/>
      <c r="U134" s="13"/>
      <c r="V134" s="13"/>
      <c r="W134" s="13"/>
      <c r="X134" s="13"/>
      <c r="Y134" s="13"/>
      <c r="Z134" s="13"/>
    </row>
    <row r="135" ht="14.25" customHeight="1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72"/>
      <c r="U135" s="13"/>
      <c r="V135" s="13"/>
      <c r="W135" s="13"/>
      <c r="X135" s="13"/>
      <c r="Y135" s="13"/>
      <c r="Z135" s="13"/>
    </row>
    <row r="136" ht="14.25" customHeight="1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72"/>
      <c r="U136" s="13"/>
      <c r="V136" s="13"/>
      <c r="W136" s="13"/>
      <c r="X136" s="13"/>
      <c r="Y136" s="13"/>
      <c r="Z136" s="13"/>
    </row>
    <row r="137" ht="14.25" customHeight="1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72"/>
      <c r="U137" s="13"/>
      <c r="V137" s="13"/>
      <c r="W137" s="13"/>
      <c r="X137" s="13"/>
      <c r="Y137" s="13"/>
      <c r="Z137" s="13"/>
    </row>
    <row r="138" ht="14.25" customHeight="1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72"/>
      <c r="U138" s="13"/>
      <c r="V138" s="13"/>
      <c r="W138" s="13"/>
      <c r="X138" s="13"/>
      <c r="Y138" s="13"/>
      <c r="Z138" s="13"/>
    </row>
    <row r="139" ht="14.25" customHeight="1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72"/>
      <c r="U139" s="13"/>
      <c r="V139" s="13"/>
      <c r="W139" s="13"/>
      <c r="X139" s="13"/>
      <c r="Y139" s="13"/>
      <c r="Z139" s="13"/>
    </row>
    <row r="140" ht="14.25" customHeight="1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72"/>
      <c r="U140" s="13"/>
      <c r="V140" s="13"/>
      <c r="W140" s="13"/>
      <c r="X140" s="13"/>
      <c r="Y140" s="13"/>
      <c r="Z140" s="13"/>
    </row>
    <row r="141" ht="14.25" customHeight="1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72"/>
      <c r="U141" s="13"/>
      <c r="V141" s="13"/>
      <c r="W141" s="13"/>
      <c r="X141" s="13"/>
      <c r="Y141" s="13"/>
      <c r="Z141" s="13"/>
    </row>
    <row r="142" ht="14.25" customHeight="1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72"/>
      <c r="U142" s="13"/>
      <c r="V142" s="13"/>
      <c r="W142" s="13"/>
      <c r="X142" s="13"/>
      <c r="Y142" s="13"/>
      <c r="Z142" s="13"/>
    </row>
    <row r="143" ht="14.25" customHeight="1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72"/>
      <c r="U143" s="13"/>
      <c r="V143" s="13"/>
      <c r="W143" s="13"/>
      <c r="X143" s="13"/>
      <c r="Y143" s="13"/>
      <c r="Z143" s="13"/>
    </row>
    <row r="144" ht="14.25" customHeight="1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72"/>
      <c r="U144" s="13"/>
      <c r="V144" s="13"/>
      <c r="W144" s="13"/>
      <c r="X144" s="13"/>
      <c r="Y144" s="13"/>
      <c r="Z144" s="13"/>
    </row>
    <row r="145" ht="14.25" customHeight="1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72"/>
      <c r="U145" s="13"/>
      <c r="V145" s="13"/>
      <c r="W145" s="13"/>
      <c r="X145" s="13"/>
      <c r="Y145" s="13"/>
      <c r="Z145" s="13"/>
    </row>
    <row r="146" ht="14.25" customHeight="1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72"/>
      <c r="U146" s="13"/>
      <c r="V146" s="13"/>
      <c r="W146" s="13"/>
      <c r="X146" s="13"/>
      <c r="Y146" s="13"/>
      <c r="Z146" s="13"/>
    </row>
    <row r="147" ht="14.25" customHeight="1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72"/>
      <c r="U147" s="13"/>
      <c r="V147" s="13"/>
      <c r="W147" s="13"/>
      <c r="X147" s="13"/>
      <c r="Y147" s="13"/>
      <c r="Z147" s="13"/>
    </row>
    <row r="148" ht="14.25" customHeight="1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72"/>
      <c r="U148" s="13"/>
      <c r="V148" s="13"/>
      <c r="W148" s="13"/>
      <c r="X148" s="13"/>
      <c r="Y148" s="13"/>
      <c r="Z148" s="13"/>
    </row>
    <row r="149" ht="14.25" customHeight="1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72"/>
      <c r="U149" s="13"/>
      <c r="V149" s="13"/>
      <c r="W149" s="13"/>
      <c r="X149" s="13"/>
      <c r="Y149" s="13"/>
      <c r="Z149" s="13"/>
    </row>
    <row r="150" ht="14.25" customHeight="1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72"/>
      <c r="U150" s="13"/>
      <c r="V150" s="13"/>
      <c r="W150" s="13"/>
      <c r="X150" s="13"/>
      <c r="Y150" s="13"/>
      <c r="Z150" s="13"/>
    </row>
    <row r="151" ht="14.25" customHeight="1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72"/>
      <c r="U151" s="13"/>
      <c r="V151" s="13"/>
      <c r="W151" s="13"/>
      <c r="X151" s="13"/>
      <c r="Y151" s="13"/>
      <c r="Z151" s="13"/>
    </row>
    <row r="152" ht="14.25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72"/>
      <c r="U152" s="13"/>
      <c r="V152" s="13"/>
      <c r="W152" s="13"/>
      <c r="X152" s="13"/>
      <c r="Y152" s="13"/>
      <c r="Z152" s="13"/>
    </row>
    <row r="153" ht="14.25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72"/>
      <c r="U153" s="13"/>
      <c r="V153" s="13"/>
      <c r="W153" s="13"/>
      <c r="X153" s="13"/>
      <c r="Y153" s="13"/>
      <c r="Z153" s="13"/>
    </row>
    <row r="154" ht="14.25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72"/>
      <c r="U154" s="13"/>
      <c r="V154" s="13"/>
      <c r="W154" s="13"/>
      <c r="X154" s="13"/>
      <c r="Y154" s="13"/>
      <c r="Z154" s="13"/>
    </row>
    <row r="155" ht="14.25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72"/>
      <c r="U155" s="13"/>
      <c r="V155" s="13"/>
      <c r="W155" s="13"/>
      <c r="X155" s="13"/>
      <c r="Y155" s="13"/>
      <c r="Z155" s="13"/>
    </row>
    <row r="156" ht="14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72"/>
      <c r="U156" s="13"/>
      <c r="V156" s="13"/>
      <c r="W156" s="13"/>
      <c r="X156" s="13"/>
      <c r="Y156" s="13"/>
      <c r="Z156" s="13"/>
    </row>
    <row r="157" ht="14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72"/>
      <c r="U157" s="13"/>
      <c r="V157" s="13"/>
      <c r="W157" s="13"/>
      <c r="X157" s="13"/>
      <c r="Y157" s="13"/>
      <c r="Z157" s="13"/>
    </row>
    <row r="158" ht="14.2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72"/>
      <c r="U158" s="13"/>
      <c r="V158" s="13"/>
      <c r="W158" s="13"/>
      <c r="X158" s="13"/>
      <c r="Y158" s="13"/>
      <c r="Z158" s="13"/>
    </row>
    <row r="159" ht="14.2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72"/>
      <c r="U159" s="13"/>
      <c r="V159" s="13"/>
      <c r="W159" s="13"/>
      <c r="X159" s="13"/>
      <c r="Y159" s="13"/>
      <c r="Z159" s="13"/>
    </row>
    <row r="160" ht="14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72"/>
      <c r="U160" s="13"/>
      <c r="V160" s="13"/>
      <c r="W160" s="13"/>
      <c r="X160" s="13"/>
      <c r="Y160" s="13"/>
      <c r="Z160" s="13"/>
    </row>
    <row r="161" ht="14.25" customHeight="1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72"/>
      <c r="U161" s="13"/>
      <c r="V161" s="13"/>
      <c r="W161" s="13"/>
      <c r="X161" s="13"/>
      <c r="Y161" s="13"/>
      <c r="Z161" s="13"/>
    </row>
    <row r="162" ht="14.25" customHeight="1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72"/>
      <c r="U162" s="13"/>
      <c r="V162" s="13"/>
      <c r="W162" s="13"/>
      <c r="X162" s="13"/>
      <c r="Y162" s="13"/>
      <c r="Z162" s="13"/>
    </row>
    <row r="163" ht="14.25" customHeight="1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72"/>
      <c r="U163" s="13"/>
      <c r="V163" s="13"/>
      <c r="W163" s="13"/>
      <c r="X163" s="13"/>
      <c r="Y163" s="13"/>
      <c r="Z163" s="13"/>
    </row>
    <row r="164" ht="14.25" customHeight="1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72"/>
      <c r="U164" s="13"/>
      <c r="V164" s="13"/>
      <c r="W164" s="13"/>
      <c r="X164" s="13"/>
      <c r="Y164" s="13"/>
      <c r="Z164" s="13"/>
    </row>
    <row r="165" ht="14.25" customHeight="1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72"/>
      <c r="U165" s="13"/>
      <c r="V165" s="13"/>
      <c r="W165" s="13"/>
      <c r="X165" s="13"/>
      <c r="Y165" s="13"/>
      <c r="Z165" s="13"/>
    </row>
    <row r="166" ht="14.25" customHeight="1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72"/>
      <c r="U166" s="13"/>
      <c r="V166" s="13"/>
      <c r="W166" s="13"/>
      <c r="X166" s="13"/>
      <c r="Y166" s="13"/>
      <c r="Z166" s="13"/>
    </row>
    <row r="167" ht="14.25" customHeight="1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72"/>
      <c r="U167" s="13"/>
      <c r="V167" s="13"/>
      <c r="W167" s="13"/>
      <c r="X167" s="13"/>
      <c r="Y167" s="13"/>
      <c r="Z167" s="13"/>
    </row>
    <row r="168" ht="14.25" customHeight="1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72"/>
      <c r="U168" s="13"/>
      <c r="V168" s="13"/>
      <c r="W168" s="13"/>
      <c r="X168" s="13"/>
      <c r="Y168" s="13"/>
      <c r="Z168" s="13"/>
    </row>
    <row r="169" ht="14.25" customHeight="1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72"/>
      <c r="U169" s="13"/>
      <c r="V169" s="13"/>
      <c r="W169" s="13"/>
      <c r="X169" s="13"/>
      <c r="Y169" s="13"/>
      <c r="Z169" s="13"/>
    </row>
    <row r="170" ht="14.25" customHeight="1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72"/>
      <c r="U170" s="13"/>
      <c r="V170" s="13"/>
      <c r="W170" s="13"/>
      <c r="X170" s="13"/>
      <c r="Y170" s="13"/>
      <c r="Z170" s="13"/>
    </row>
    <row r="171" ht="14.25" customHeight="1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72"/>
      <c r="U171" s="13"/>
      <c r="V171" s="13"/>
      <c r="W171" s="13"/>
      <c r="X171" s="13"/>
      <c r="Y171" s="13"/>
      <c r="Z171" s="13"/>
    </row>
    <row r="172" ht="14.25" customHeight="1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72"/>
      <c r="U172" s="13"/>
      <c r="V172" s="13"/>
      <c r="W172" s="13"/>
      <c r="X172" s="13"/>
      <c r="Y172" s="13"/>
      <c r="Z172" s="13"/>
    </row>
    <row r="173" ht="14.25" customHeight="1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72"/>
      <c r="U173" s="13"/>
      <c r="V173" s="13"/>
      <c r="W173" s="13"/>
      <c r="X173" s="13"/>
      <c r="Y173" s="13"/>
      <c r="Z173" s="13"/>
    </row>
    <row r="174" ht="14.25" customHeight="1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72"/>
      <c r="U174" s="13"/>
      <c r="V174" s="13"/>
      <c r="W174" s="13"/>
      <c r="X174" s="13"/>
      <c r="Y174" s="13"/>
      <c r="Z174" s="13"/>
    </row>
    <row r="175" ht="14.25" customHeight="1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72"/>
      <c r="U175" s="13"/>
      <c r="V175" s="13"/>
      <c r="W175" s="13"/>
      <c r="X175" s="13"/>
      <c r="Y175" s="13"/>
      <c r="Z175" s="13"/>
    </row>
    <row r="176" ht="14.25" customHeight="1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72"/>
      <c r="U176" s="13"/>
      <c r="V176" s="13"/>
      <c r="W176" s="13"/>
      <c r="X176" s="13"/>
      <c r="Y176" s="13"/>
      <c r="Z176" s="13"/>
    </row>
    <row r="177" ht="14.25" customHeight="1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72"/>
      <c r="U177" s="13"/>
      <c r="V177" s="13"/>
      <c r="W177" s="13"/>
      <c r="X177" s="13"/>
      <c r="Y177" s="13"/>
      <c r="Z177" s="13"/>
    </row>
    <row r="178" ht="14.25" customHeight="1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72"/>
      <c r="U178" s="13"/>
      <c r="V178" s="13"/>
      <c r="W178" s="13"/>
      <c r="X178" s="13"/>
      <c r="Y178" s="13"/>
      <c r="Z178" s="13"/>
    </row>
    <row r="179" ht="14.25" customHeight="1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72"/>
      <c r="U179" s="13"/>
      <c r="V179" s="13"/>
      <c r="W179" s="13"/>
      <c r="X179" s="13"/>
      <c r="Y179" s="13"/>
      <c r="Z179" s="13"/>
    </row>
    <row r="180" ht="14.25" customHeight="1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72"/>
      <c r="U180" s="37"/>
      <c r="V180" s="13"/>
      <c r="W180" s="13"/>
      <c r="X180" s="13"/>
      <c r="Y180" s="13"/>
      <c r="Z180" s="13"/>
    </row>
    <row r="181" ht="14.25" customHeight="1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72"/>
      <c r="U181" s="37"/>
      <c r="V181" s="13"/>
      <c r="W181" s="13"/>
      <c r="X181" s="13"/>
      <c r="Y181" s="13"/>
      <c r="Z181" s="13"/>
    </row>
    <row r="182" ht="14.25" customHeight="1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72"/>
      <c r="U182" s="37"/>
      <c r="V182" s="13"/>
      <c r="W182" s="13"/>
      <c r="X182" s="13"/>
      <c r="Y182" s="13"/>
      <c r="Z182" s="13"/>
    </row>
    <row r="183" ht="14.25" customHeight="1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72"/>
      <c r="U183" s="37"/>
      <c r="V183" s="13"/>
      <c r="W183" s="13"/>
      <c r="X183" s="13"/>
      <c r="Y183" s="13"/>
      <c r="Z183" s="13"/>
    </row>
    <row r="184" ht="14.25" customHeight="1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72"/>
      <c r="U184" s="37"/>
      <c r="V184" s="13"/>
      <c r="W184" s="13"/>
      <c r="X184" s="13"/>
      <c r="Y184" s="13"/>
      <c r="Z184" s="13"/>
    </row>
    <row r="185" ht="14.25" customHeight="1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72"/>
      <c r="U185" s="37"/>
      <c r="V185" s="13"/>
      <c r="W185" s="13"/>
      <c r="X185" s="13"/>
      <c r="Y185" s="13"/>
      <c r="Z185" s="13"/>
    </row>
    <row r="186" ht="14.25" customHeight="1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72"/>
      <c r="U186" s="37"/>
      <c r="V186" s="13"/>
      <c r="W186" s="13"/>
      <c r="X186" s="13"/>
      <c r="Y186" s="13"/>
      <c r="Z186" s="13"/>
    </row>
    <row r="187" ht="14.25" customHeight="1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72"/>
      <c r="U187" s="37"/>
      <c r="V187" s="13"/>
      <c r="W187" s="13"/>
      <c r="X187" s="13"/>
      <c r="Y187" s="13"/>
      <c r="Z187" s="13"/>
    </row>
    <row r="188" ht="14.25" customHeight="1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72"/>
      <c r="U188" s="37"/>
      <c r="V188" s="13"/>
      <c r="W188" s="13"/>
      <c r="X188" s="13"/>
      <c r="Y188" s="13"/>
      <c r="Z188" s="13"/>
    </row>
    <row r="189" ht="14.25" customHeight="1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72"/>
      <c r="U189" s="37"/>
      <c r="V189" s="13"/>
      <c r="W189" s="13"/>
      <c r="X189" s="13"/>
      <c r="Y189" s="13"/>
      <c r="Z189" s="13"/>
    </row>
    <row r="190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72"/>
      <c r="U190" s="37"/>
      <c r="V190" s="37"/>
      <c r="W190" s="37"/>
      <c r="X190" s="37"/>
      <c r="Y190" s="37"/>
      <c r="Z190" s="37"/>
    </row>
    <row r="191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72"/>
      <c r="U191" s="37"/>
      <c r="V191" s="37"/>
      <c r="W191" s="37"/>
      <c r="X191" s="37"/>
      <c r="Y191" s="37"/>
      <c r="Z191" s="37"/>
    </row>
    <row r="192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72"/>
      <c r="U192" s="37"/>
      <c r="V192" s="37"/>
      <c r="W192" s="37"/>
      <c r="X192" s="37"/>
      <c r="Y192" s="37"/>
      <c r="Z192" s="37"/>
    </row>
    <row r="193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72"/>
      <c r="U193" s="37"/>
      <c r="V193" s="37"/>
      <c r="W193" s="37"/>
      <c r="X193" s="37"/>
      <c r="Y193" s="37"/>
      <c r="Z193" s="37"/>
    </row>
    <row r="194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72"/>
      <c r="U194" s="37"/>
      <c r="V194" s="37"/>
      <c r="W194" s="37"/>
      <c r="X194" s="37"/>
      <c r="Y194" s="37"/>
      <c r="Z194" s="37"/>
    </row>
    <row r="195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72"/>
      <c r="U195" s="37"/>
      <c r="V195" s="37"/>
      <c r="W195" s="37"/>
      <c r="X195" s="37"/>
      <c r="Y195" s="37"/>
      <c r="Z195" s="37"/>
    </row>
    <row r="19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72"/>
      <c r="U196" s="37"/>
      <c r="V196" s="37"/>
      <c r="W196" s="37"/>
      <c r="X196" s="37"/>
      <c r="Y196" s="37"/>
      <c r="Z196" s="37"/>
    </row>
    <row r="197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72"/>
      <c r="U197" s="37"/>
      <c r="V197" s="37"/>
      <c r="W197" s="37"/>
      <c r="X197" s="37"/>
      <c r="Y197" s="37"/>
      <c r="Z197" s="37"/>
    </row>
    <row r="198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72"/>
      <c r="U198" s="37"/>
      <c r="V198" s="37"/>
      <c r="W198" s="37"/>
      <c r="X198" s="37"/>
      <c r="Y198" s="37"/>
      <c r="Z198" s="37"/>
    </row>
    <row r="199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72"/>
      <c r="U199" s="37"/>
      <c r="V199" s="37"/>
      <c r="W199" s="37"/>
      <c r="X199" s="37"/>
      <c r="Y199" s="37"/>
      <c r="Z199" s="37"/>
    </row>
    <row r="200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72"/>
      <c r="U200" s="37"/>
      <c r="V200" s="37"/>
      <c r="W200" s="37"/>
      <c r="X200" s="37"/>
      <c r="Y200" s="37"/>
      <c r="Z200" s="37"/>
    </row>
    <row r="201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72"/>
      <c r="U201" s="37"/>
      <c r="V201" s="37"/>
      <c r="W201" s="37"/>
      <c r="X201" s="37"/>
      <c r="Y201" s="37"/>
      <c r="Z201" s="37"/>
    </row>
    <row r="202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72"/>
      <c r="U202" s="37"/>
      <c r="V202" s="37"/>
      <c r="W202" s="37"/>
      <c r="X202" s="37"/>
      <c r="Y202" s="37"/>
      <c r="Z202" s="37"/>
    </row>
    <row r="203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72"/>
      <c r="U203" s="37"/>
      <c r="V203" s="37"/>
      <c r="W203" s="37"/>
      <c r="X203" s="37"/>
      <c r="Y203" s="37"/>
      <c r="Z203" s="37"/>
    </row>
    <row r="204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72"/>
      <c r="U204" s="37"/>
      <c r="V204" s="37"/>
      <c r="W204" s="37"/>
      <c r="X204" s="37"/>
      <c r="Y204" s="37"/>
      <c r="Z204" s="37"/>
    </row>
    <row r="205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72"/>
      <c r="U205" s="37"/>
      <c r="V205" s="37"/>
      <c r="W205" s="37"/>
      <c r="X205" s="37"/>
      <c r="Y205" s="37"/>
      <c r="Z205" s="37"/>
    </row>
    <row r="20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72"/>
      <c r="U206" s="37"/>
      <c r="V206" s="37"/>
      <c r="W206" s="37"/>
      <c r="X206" s="37"/>
      <c r="Y206" s="37"/>
      <c r="Z206" s="37"/>
    </row>
    <row r="207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72"/>
      <c r="U207" s="37"/>
      <c r="V207" s="37"/>
      <c r="W207" s="37"/>
      <c r="X207" s="37"/>
      <c r="Y207" s="37"/>
      <c r="Z207" s="37"/>
    </row>
    <row r="208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72"/>
      <c r="U208" s="37"/>
      <c r="V208" s="37"/>
      <c r="W208" s="37"/>
      <c r="X208" s="37"/>
      <c r="Y208" s="37"/>
      <c r="Z208" s="37"/>
    </row>
    <row r="209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72"/>
      <c r="U209" s="37"/>
      <c r="V209" s="37"/>
      <c r="W209" s="37"/>
      <c r="X209" s="37"/>
      <c r="Y209" s="37"/>
      <c r="Z209" s="37"/>
    </row>
    <row r="210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72"/>
      <c r="U210" s="37"/>
      <c r="V210" s="37"/>
      <c r="W210" s="37"/>
      <c r="X210" s="37"/>
      <c r="Y210" s="37"/>
      <c r="Z210" s="37"/>
    </row>
    <row r="211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72"/>
      <c r="U211" s="37"/>
      <c r="V211" s="37"/>
      <c r="W211" s="37"/>
      <c r="X211" s="37"/>
      <c r="Y211" s="37"/>
      <c r="Z211" s="37"/>
    </row>
    <row r="212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72"/>
      <c r="U212" s="37"/>
      <c r="V212" s="37"/>
      <c r="W212" s="37"/>
      <c r="X212" s="37"/>
      <c r="Y212" s="37"/>
      <c r="Z212" s="37"/>
    </row>
    <row r="213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72"/>
      <c r="U213" s="37"/>
      <c r="V213" s="37"/>
      <c r="W213" s="37"/>
      <c r="X213" s="37"/>
      <c r="Y213" s="37"/>
      <c r="Z213" s="37"/>
    </row>
    <row r="214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72"/>
      <c r="U214" s="37"/>
      <c r="V214" s="37"/>
      <c r="W214" s="37"/>
      <c r="X214" s="37"/>
      <c r="Y214" s="37"/>
      <c r="Z214" s="37"/>
    </row>
    <row r="215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72"/>
      <c r="U215" s="37"/>
      <c r="V215" s="37"/>
      <c r="W215" s="37"/>
      <c r="X215" s="37"/>
      <c r="Y215" s="37"/>
      <c r="Z215" s="37"/>
    </row>
    <row r="21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72"/>
      <c r="U216" s="37"/>
      <c r="V216" s="37"/>
      <c r="W216" s="37"/>
      <c r="X216" s="37"/>
      <c r="Y216" s="37"/>
      <c r="Z216" s="37"/>
    </row>
    <row r="217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72"/>
      <c r="U217" s="37"/>
      <c r="V217" s="37"/>
      <c r="W217" s="37"/>
      <c r="X217" s="37"/>
      <c r="Y217" s="37"/>
      <c r="Z217" s="37"/>
    </row>
    <row r="218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72"/>
      <c r="U218" s="37"/>
      <c r="V218" s="37"/>
      <c r="W218" s="37"/>
      <c r="X218" s="37"/>
      <c r="Y218" s="37"/>
      <c r="Z218" s="37"/>
    </row>
    <row r="219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72"/>
      <c r="U219" s="37"/>
      <c r="V219" s="37"/>
      <c r="W219" s="37"/>
      <c r="X219" s="37"/>
      <c r="Y219" s="37"/>
      <c r="Z219" s="37"/>
    </row>
    <row r="220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72"/>
      <c r="U220" s="37"/>
      <c r="V220" s="37"/>
      <c r="W220" s="37"/>
      <c r="X220" s="37"/>
      <c r="Y220" s="37"/>
      <c r="Z220" s="37"/>
    </row>
    <row r="221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72"/>
      <c r="U221" s="37"/>
      <c r="V221" s="37"/>
      <c r="W221" s="37"/>
      <c r="X221" s="37"/>
      <c r="Y221" s="37"/>
      <c r="Z221" s="37"/>
    </row>
    <row r="222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72"/>
      <c r="U222" s="37"/>
      <c r="V222" s="37"/>
      <c r="W222" s="37"/>
      <c r="X222" s="37"/>
      <c r="Y222" s="37"/>
      <c r="Z222" s="37"/>
    </row>
    <row r="223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72"/>
      <c r="U223" s="37"/>
      <c r="V223" s="37"/>
      <c r="W223" s="37"/>
      <c r="X223" s="37"/>
      <c r="Y223" s="37"/>
      <c r="Z223" s="37"/>
    </row>
    <row r="224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72"/>
      <c r="U224" s="37"/>
      <c r="V224" s="37"/>
      <c r="W224" s="37"/>
      <c r="X224" s="37"/>
      <c r="Y224" s="37"/>
      <c r="Z224" s="37"/>
    </row>
    <row r="225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72"/>
      <c r="U225" s="37"/>
      <c r="V225" s="37"/>
      <c r="W225" s="37"/>
      <c r="X225" s="37"/>
      <c r="Y225" s="37"/>
      <c r="Z225" s="37"/>
    </row>
    <row r="2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72"/>
      <c r="U226" s="37"/>
      <c r="V226" s="37"/>
      <c r="W226" s="37"/>
      <c r="X226" s="37"/>
      <c r="Y226" s="37"/>
      <c r="Z226" s="37"/>
    </row>
    <row r="227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72"/>
      <c r="U227" s="37"/>
      <c r="V227" s="37"/>
      <c r="W227" s="37"/>
      <c r="X227" s="37"/>
      <c r="Y227" s="37"/>
      <c r="Z227" s="37"/>
    </row>
    <row r="228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72"/>
      <c r="U228" s="37"/>
      <c r="V228" s="37"/>
      <c r="W228" s="37"/>
      <c r="X228" s="37"/>
      <c r="Y228" s="37"/>
      <c r="Z228" s="37"/>
    </row>
    <row r="229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72"/>
      <c r="U229" s="37"/>
      <c r="V229" s="37"/>
      <c r="W229" s="37"/>
      <c r="X229" s="37"/>
      <c r="Y229" s="37"/>
      <c r="Z229" s="37"/>
    </row>
    <row r="230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72"/>
      <c r="U230" s="37"/>
      <c r="V230" s="37"/>
      <c r="W230" s="37"/>
      <c r="X230" s="37"/>
      <c r="Y230" s="37"/>
      <c r="Z230" s="37"/>
    </row>
    <row r="231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72"/>
      <c r="U231" s="37"/>
      <c r="V231" s="37"/>
      <c r="W231" s="37"/>
      <c r="X231" s="37"/>
      <c r="Y231" s="37"/>
      <c r="Z231" s="37"/>
    </row>
    <row r="232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72"/>
      <c r="U232" s="37"/>
      <c r="V232" s="37"/>
      <c r="W232" s="37"/>
      <c r="X232" s="37"/>
      <c r="Y232" s="37"/>
      <c r="Z232" s="37"/>
    </row>
    <row r="233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72"/>
      <c r="U233" s="37"/>
      <c r="V233" s="37"/>
      <c r="W233" s="37"/>
      <c r="X233" s="37"/>
      <c r="Y233" s="37"/>
      <c r="Z233" s="37"/>
    </row>
    <row r="234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72"/>
      <c r="U234" s="37"/>
      <c r="V234" s="37"/>
      <c r="W234" s="37"/>
      <c r="X234" s="37"/>
      <c r="Y234" s="37"/>
      <c r="Z234" s="37"/>
    </row>
    <row r="235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72"/>
      <c r="U235" s="37"/>
      <c r="V235" s="37"/>
      <c r="W235" s="37"/>
      <c r="X235" s="37"/>
      <c r="Y235" s="37"/>
      <c r="Z235" s="37"/>
    </row>
    <row r="23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72"/>
      <c r="U236" s="37"/>
      <c r="V236" s="37"/>
      <c r="W236" s="37"/>
      <c r="X236" s="37"/>
      <c r="Y236" s="37"/>
      <c r="Z236" s="37"/>
    </row>
    <row r="237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72"/>
      <c r="U237" s="37"/>
      <c r="V237" s="37"/>
      <c r="W237" s="37"/>
      <c r="X237" s="37"/>
      <c r="Y237" s="37"/>
      <c r="Z237" s="37"/>
    </row>
    <row r="238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72"/>
      <c r="U238" s="37"/>
      <c r="V238" s="37"/>
      <c r="W238" s="37"/>
      <c r="X238" s="37"/>
      <c r="Y238" s="37"/>
      <c r="Z238" s="37"/>
    </row>
    <row r="239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72"/>
      <c r="U239" s="37"/>
      <c r="V239" s="37"/>
      <c r="W239" s="37"/>
      <c r="X239" s="37"/>
      <c r="Y239" s="37"/>
      <c r="Z239" s="37"/>
    </row>
    <row r="240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72"/>
      <c r="U240" s="37"/>
      <c r="V240" s="37"/>
      <c r="W240" s="37"/>
      <c r="X240" s="37"/>
      <c r="Y240" s="37"/>
      <c r="Z240" s="37"/>
    </row>
    <row r="241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72"/>
      <c r="U241" s="37"/>
      <c r="V241" s="37"/>
      <c r="W241" s="37"/>
      <c r="X241" s="37"/>
      <c r="Y241" s="37"/>
      <c r="Z241" s="37"/>
    </row>
    <row r="242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72"/>
      <c r="U242" s="37"/>
      <c r="V242" s="37"/>
      <c r="W242" s="37"/>
      <c r="X242" s="37"/>
      <c r="Y242" s="37"/>
      <c r="Z242" s="37"/>
    </row>
    <row r="243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72"/>
      <c r="U243" s="37"/>
      <c r="V243" s="37"/>
      <c r="W243" s="37"/>
      <c r="X243" s="37"/>
      <c r="Y243" s="37"/>
      <c r="Z243" s="37"/>
    </row>
    <row r="244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72"/>
      <c r="U244" s="37"/>
      <c r="V244" s="37"/>
      <c r="W244" s="37"/>
      <c r="X244" s="37"/>
      <c r="Y244" s="37"/>
      <c r="Z244" s="37"/>
    </row>
    <row r="245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72"/>
      <c r="U245" s="37"/>
      <c r="V245" s="37"/>
      <c r="W245" s="37"/>
      <c r="X245" s="37"/>
      <c r="Y245" s="37"/>
      <c r="Z245" s="37"/>
    </row>
    <row r="24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72"/>
      <c r="U246" s="37"/>
      <c r="V246" s="37"/>
      <c r="W246" s="37"/>
      <c r="X246" s="37"/>
      <c r="Y246" s="37"/>
      <c r="Z246" s="37"/>
    </row>
    <row r="247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72"/>
      <c r="U247" s="37"/>
      <c r="V247" s="37"/>
      <c r="W247" s="37"/>
      <c r="X247" s="37"/>
      <c r="Y247" s="37"/>
      <c r="Z247" s="37"/>
    </row>
    <row r="248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72"/>
      <c r="U248" s="37"/>
      <c r="V248" s="37"/>
      <c r="W248" s="37"/>
      <c r="X248" s="37"/>
      <c r="Y248" s="37"/>
      <c r="Z248" s="37"/>
    </row>
    <row r="249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72"/>
      <c r="U249" s="37"/>
      <c r="V249" s="37"/>
      <c r="W249" s="37"/>
      <c r="X249" s="37"/>
      <c r="Y249" s="37"/>
      <c r="Z249" s="37"/>
    </row>
    <row r="250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72"/>
      <c r="U250" s="37"/>
      <c r="V250" s="37"/>
      <c r="W250" s="37"/>
      <c r="X250" s="37"/>
      <c r="Y250" s="37"/>
      <c r="Z250" s="37"/>
    </row>
    <row r="251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72"/>
      <c r="U251" s="37"/>
      <c r="V251" s="37"/>
      <c r="W251" s="37"/>
      <c r="X251" s="37"/>
      <c r="Y251" s="37"/>
      <c r="Z251" s="37"/>
    </row>
    <row r="252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72"/>
      <c r="U252" s="37"/>
      <c r="V252" s="37"/>
      <c r="W252" s="37"/>
      <c r="X252" s="37"/>
      <c r="Y252" s="37"/>
      <c r="Z252" s="37"/>
    </row>
    <row r="253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72"/>
      <c r="U253" s="37"/>
      <c r="V253" s="37"/>
      <c r="W253" s="37"/>
      <c r="X253" s="37"/>
      <c r="Y253" s="37"/>
      <c r="Z253" s="37"/>
    </row>
    <row r="254" ht="15.7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ht="15.7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ht="15.7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ht="15.7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ht="15.7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ht="15.7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ht="15.7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ht="15.7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ht="15.7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ht="15.7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ht="15.7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ht="15.7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ht="15.7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ht="15.7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ht="15.7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ht="15.7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ht="15.7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ht="15.7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ht="15.7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ht="15.7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ht="15.7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ht="15.7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ht="15.7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ht="15.7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ht="15.7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ht="15.7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ht="15.7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ht="15.7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ht="15.7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ht="15.7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ht="15.7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ht="15.7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ht="15.7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ht="15.7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ht="15.7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ht="15.7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ht="15.7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ht="15.7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ht="15.7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ht="15.7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ht="15.7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ht="15.7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ht="15.7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ht="15.7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ht="15.7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ht="15.7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ht="15.7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ht="15.7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ht="15.7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ht="15.7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ht="15.7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ht="15.7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ht="15.7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ht="15.7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ht="15.7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ht="15.7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ht="15.7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ht="15.7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ht="15.7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ht="15.7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ht="15.7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ht="15.7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ht="15.7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ht="15.7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ht="15.7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ht="15.7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ht="15.7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ht="15.7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ht="15.7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ht="15.7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ht="15.7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ht="15.7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ht="15.7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ht="15.7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ht="15.7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ht="15.7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ht="15.7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ht="15.7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ht="15.7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ht="15.7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ht="15.7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ht="15.7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ht="15.7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ht="15.7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ht="15.7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ht="15.7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ht="15.7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ht="15.7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ht="15.7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ht="15.7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ht="15.7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ht="15.7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ht="15.7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ht="15.7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ht="15.7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ht="15.7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ht="15.7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ht="15.7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ht="15.7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ht="15.7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ht="15.7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ht="15.7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ht="15.7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ht="15.7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ht="15.7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ht="15.7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ht="15.7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ht="15.7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ht="15.7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ht="15.7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ht="15.7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ht="15.7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ht="15.7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ht="15.7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ht="15.7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ht="15.7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ht="15.7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ht="15.7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ht="15.7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ht="15.7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ht="15.7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ht="15.7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ht="15.7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ht="15.7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ht="15.7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ht="15.7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ht="15.7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ht="15.7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ht="15.7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ht="15.7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ht="15.7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ht="15.7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ht="15.7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ht="15.7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ht="15.7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ht="15.7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ht="15.7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ht="15.7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ht="15.7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ht="15.7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ht="15.7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ht="15.7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ht="15.7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ht="15.7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ht="15.7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ht="15.7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ht="15.7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ht="15.7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ht="15.7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ht="15.7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ht="15.7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ht="15.7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ht="15.7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ht="15.7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ht="15.7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ht="15.7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ht="15.7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ht="15.7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ht="15.7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ht="15.7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ht="15.7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ht="15.7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ht="15.7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ht="15.7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ht="15.7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ht="15.7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ht="15.7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ht="15.7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ht="15.7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ht="15.7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ht="15.7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ht="15.7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ht="15.7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ht="15.7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ht="15.7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ht="15.7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ht="15.7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ht="15.7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ht="15.7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ht="15.7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ht="15.7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ht="15.7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ht="15.7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ht="15.7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ht="15.7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ht="15.7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ht="15.7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ht="15.7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ht="15.7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ht="15.7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ht="15.7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ht="15.7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ht="15.7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ht="15.7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ht="15.7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ht="15.7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ht="15.7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ht="15.7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ht="15.7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ht="15.7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ht="15.7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ht="15.7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ht="15.7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ht="15.7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ht="15.7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ht="15.7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ht="15.7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ht="15.7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ht="15.7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ht="15.7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ht="15.7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ht="15.7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ht="15.7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ht="15.7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ht="15.7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ht="15.7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ht="15.7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ht="15.7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ht="15.7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ht="15.7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ht="15.7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ht="15.7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ht="15.7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ht="15.7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ht="15.7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ht="15.7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ht="15.7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ht="15.7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ht="15.7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ht="15.7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ht="15.7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ht="15.7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ht="15.7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ht="15.7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ht="15.7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ht="15.7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ht="15.7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ht="15.7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ht="15.7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ht="15.7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ht="15.7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ht="15.7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ht="15.7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ht="15.7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ht="15.7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ht="15.7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ht="15.7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ht="15.7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ht="15.7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ht="15.7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ht="15.7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ht="15.7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ht="15.7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ht="15.7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ht="15.7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ht="15.7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ht="15.7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ht="15.7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ht="15.7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ht="15.7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ht="15.7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ht="15.7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ht="15.7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ht="15.7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ht="15.7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ht="15.7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ht="15.7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ht="15.7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ht="15.7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ht="15.7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ht="15.7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ht="15.7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ht="15.7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ht="15.7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ht="15.7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ht="15.7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ht="15.7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ht="15.7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ht="15.7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ht="15.7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ht="15.7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ht="15.7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ht="15.7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ht="15.7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ht="15.7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ht="15.7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ht="15.7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ht="15.7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ht="15.7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ht="15.7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ht="15.7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ht="15.7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ht="15.7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ht="15.7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ht="15.7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ht="15.7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ht="15.7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ht="15.7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ht="15.7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ht="15.7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ht="15.7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ht="15.7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ht="15.7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ht="15.7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ht="15.7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ht="15.7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ht="15.7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ht="15.7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ht="15.7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ht="15.7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ht="15.7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ht="15.7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ht="15.7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ht="15.7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ht="15.7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ht="15.7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ht="15.7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ht="15.7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ht="15.7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ht="15.7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ht="15.7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ht="15.7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ht="15.7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ht="15.7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ht="15.7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ht="15.7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ht="15.7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ht="15.7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ht="15.7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ht="15.7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ht="15.7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ht="15.7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ht="15.7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ht="15.7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ht="15.7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ht="15.7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ht="15.7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ht="15.7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ht="15.7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ht="15.7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ht="15.7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ht="15.7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ht="15.7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ht="15.7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ht="15.7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ht="15.7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ht="15.7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ht="15.7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ht="15.7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ht="15.7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ht="15.7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ht="15.7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ht="15.7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ht="15.7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ht="15.7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ht="15.7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ht="15.7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ht="15.7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ht="15.7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ht="15.7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ht="15.7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ht="15.7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ht="15.7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ht="15.7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ht="15.7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ht="15.7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ht="15.7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ht="15.7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ht="15.7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ht="15.7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ht="15.7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ht="15.7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ht="15.7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ht="15.7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ht="15.7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ht="15.7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ht="15.7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ht="15.7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ht="15.7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ht="15.7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ht="15.7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ht="15.7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ht="15.7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ht="15.7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ht="15.7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ht="15.7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ht="15.7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ht="15.7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ht="15.7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ht="15.7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ht="15.7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ht="15.7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ht="15.7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ht="15.7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ht="15.7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ht="15.7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ht="15.7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ht="15.7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ht="15.7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ht="15.7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ht="15.7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ht="15.7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ht="15.7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ht="15.7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ht="15.7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ht="15.7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ht="15.7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ht="15.7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ht="15.7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ht="15.7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ht="15.7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ht="15.7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ht="15.7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ht="15.7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ht="15.7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ht="15.7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ht="15.7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ht="15.7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ht="15.7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ht="15.7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ht="15.7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ht="15.7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ht="15.7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ht="15.7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ht="15.7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ht="15.7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ht="15.7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ht="15.7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ht="15.7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ht="15.7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ht="15.7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ht="15.7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ht="15.7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ht="15.7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ht="15.7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ht="15.7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ht="15.7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ht="15.7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ht="15.7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ht="15.7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ht="15.7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ht="15.7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ht="15.7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ht="15.7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ht="15.7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ht="15.7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ht="15.7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ht="15.7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ht="15.7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ht="15.7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ht="15.7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ht="15.7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ht="15.7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ht="15.7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ht="15.7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ht="15.7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ht="15.7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ht="15.7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ht="15.7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ht="15.7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ht="15.7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ht="15.7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ht="15.7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ht="15.7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ht="15.7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ht="15.7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ht="15.7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ht="15.7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ht="15.7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ht="15.7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ht="15.7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ht="15.7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ht="15.7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ht="15.7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ht="15.7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ht="15.7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ht="15.7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ht="15.7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ht="15.7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ht="15.7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ht="15.7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ht="15.7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ht="15.7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ht="15.7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ht="15.7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ht="15.7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ht="15.7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ht="15.7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ht="15.7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ht="15.7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ht="15.7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ht="15.7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ht="15.7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ht="15.7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ht="15.7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ht="15.7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ht="15.7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ht="15.7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ht="15.7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ht="15.7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ht="15.7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ht="15.7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ht="15.7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ht="15.7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ht="15.7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ht="15.7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ht="15.7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ht="15.7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ht="15.7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ht="15.7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ht="15.7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ht="15.7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ht="15.7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ht="15.7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ht="15.7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ht="15.7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ht="15.7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ht="15.7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ht="15.7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ht="15.7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ht="15.7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ht="15.7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ht="15.7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ht="15.7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ht="15.7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ht="15.7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ht="15.7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ht="15.7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ht="15.7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ht="15.7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ht="15.7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ht="15.7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ht="15.7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ht="15.7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ht="15.7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ht="15.7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ht="15.7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ht="15.7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ht="15.7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ht="15.7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ht="15.7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ht="15.7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ht="15.7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ht="15.7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ht="15.7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ht="15.7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ht="15.7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ht="15.7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ht="15.7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ht="15.7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ht="15.7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ht="15.7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ht="15.7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ht="15.7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ht="15.7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ht="15.7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ht="15.7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ht="15.7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ht="15.7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ht="15.7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ht="15.7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ht="15.7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ht="15.7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ht="15.7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ht="15.7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ht="15.7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ht="15.7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ht="15.7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ht="15.7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ht="15.7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ht="15.7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ht="15.7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ht="15.7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ht="15.7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ht="15.7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ht="15.7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ht="15.7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ht="15.7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ht="15.7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ht="15.7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ht="15.7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ht="15.7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ht="15.7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ht="15.7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ht="15.7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ht="15.7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ht="15.7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ht="15.7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ht="15.7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ht="15.7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ht="15.7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ht="15.7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ht="15.7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ht="15.7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ht="15.7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ht="15.7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ht="15.7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ht="15.7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ht="15.7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ht="15.7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ht="15.7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ht="15.7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ht="15.7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ht="15.7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ht="15.7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ht="15.7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ht="15.7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ht="15.7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ht="15.7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ht="15.7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ht="15.7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ht="15.7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ht="15.7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ht="15.7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ht="15.7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ht="15.7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ht="15.7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ht="15.7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ht="15.7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ht="15.7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ht="15.7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ht="15.7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ht="15.7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ht="15.7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ht="15.7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ht="15.7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ht="15.7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ht="15.7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ht="15.7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ht="15.7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ht="15.7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ht="15.7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ht="15.7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ht="15.7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ht="15.7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ht="15.7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ht="15.7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ht="15.7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ht="15.7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ht="15.7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ht="15.7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ht="15.7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ht="15.7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ht="15.7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ht="15.7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ht="15.7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ht="15.7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ht="15.7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ht="15.7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ht="15.7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ht="15.7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ht="15.7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ht="15.7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ht="15.7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ht="15.7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ht="15.7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ht="15.7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ht="15.7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ht="15.7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ht="15.7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ht="15.7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ht="15.7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ht="15.7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ht="15.7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ht="15.7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ht="15.7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ht="15.7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ht="15.7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ht="15.7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ht="15.7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ht="15.7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ht="15.7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ht="15.7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ht="15.7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ht="15.7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ht="15.7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ht="15.7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ht="15.7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ht="15.7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ht="15.7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ht="15.7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ht="15.7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ht="15.7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ht="15.7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ht="15.7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ht="15.7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ht="15.7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ht="15.7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ht="15.7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ht="15.7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ht="15.7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ht="15.7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ht="15.7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ht="15.7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ht="15.7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ht="15.7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ht="15.7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ht="15.7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ht="15.7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ht="15.7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ht="15.7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ht="15.7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ht="15.7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ht="15.7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ht="15.7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ht="15.7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ht="15.7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ht="15.7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ht="15.7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ht="15.7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ht="15.7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ht="15.7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ht="15.7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ht="15.7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ht="15.7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ht="15.7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ht="15.7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ht="15.7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ht="15.7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ht="15.7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ht="15.7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ht="15.7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ht="15.7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ht="15.7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ht="15.7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ht="15.7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ht="15.7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ht="15.7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ht="15.7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ht="15.7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ht="15.7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ht="15.7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ht="15.7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ht="15.7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ht="15.7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ht="15.7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ht="15.7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ht="15.7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V991" s="37"/>
      <c r="W991" s="37"/>
      <c r="X991" s="37"/>
      <c r="Y991" s="37"/>
      <c r="Z991" s="37"/>
    </row>
    <row r="992" ht="15.7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V992" s="37"/>
      <c r="W992" s="37"/>
      <c r="X992" s="37"/>
      <c r="Y992" s="37"/>
      <c r="Z992" s="37"/>
    </row>
    <row r="993" ht="15.7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V993" s="37"/>
      <c r="W993" s="37"/>
      <c r="X993" s="37"/>
      <c r="Y993" s="37"/>
      <c r="Z993" s="37"/>
    </row>
    <row r="994" ht="15.7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V994" s="37"/>
      <c r="W994" s="37"/>
      <c r="X994" s="37"/>
      <c r="Y994" s="37"/>
      <c r="Z994" s="37"/>
    </row>
    <row r="995" ht="15.7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V995" s="37"/>
      <c r="W995" s="37"/>
      <c r="X995" s="37"/>
      <c r="Y995" s="37"/>
      <c r="Z995" s="37"/>
    </row>
    <row r="996" ht="15.7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V996" s="37"/>
      <c r="W996" s="37"/>
      <c r="X996" s="37"/>
      <c r="Y996" s="37"/>
      <c r="Z996" s="37"/>
    </row>
    <row r="997" ht="15.7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V997" s="37"/>
      <c r="W997" s="37"/>
      <c r="X997" s="37"/>
      <c r="Y997" s="37"/>
      <c r="Z997" s="37"/>
    </row>
    <row r="998" ht="15.7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V998" s="37"/>
      <c r="W998" s="37"/>
      <c r="X998" s="37"/>
      <c r="Y998" s="37"/>
      <c r="Z998" s="37"/>
    </row>
    <row r="999" ht="15.7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V999" s="37"/>
      <c r="W999" s="37"/>
      <c r="X999" s="37"/>
      <c r="Y999" s="37"/>
      <c r="Z999" s="37"/>
    </row>
    <row r="1000" ht="15.7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V1000" s="37"/>
      <c r="W1000" s="37"/>
      <c r="X1000" s="37"/>
      <c r="Y1000" s="37"/>
      <c r="Z1000" s="37"/>
    </row>
  </sheetData>
  <mergeCells count="10">
    <mergeCell ref="A44:J44"/>
    <mergeCell ref="B45:J45"/>
    <mergeCell ref="K53:L53"/>
    <mergeCell ref="E1:P1"/>
    <mergeCell ref="B2:S2"/>
    <mergeCell ref="B3:J3"/>
    <mergeCell ref="K3:S3"/>
    <mergeCell ref="B32:S32"/>
    <mergeCell ref="B33:J33"/>
    <mergeCell ref="K33:S33"/>
  </mergeCells>
  <conditionalFormatting sqref="B47:K52">
    <cfRule type="cellIs" dxfId="0" priority="1" operator="lessThan">
      <formula>3</formula>
    </cfRule>
  </conditionalFormatting>
  <conditionalFormatting sqref="B5:T29">
    <cfRule type="cellIs" dxfId="0" priority="2" operator="lessThan">
      <formula>3</formula>
    </cfRule>
  </conditionalFormatting>
  <conditionalFormatting sqref="B35:T41">
    <cfRule type="cellIs" dxfId="0" priority="3" operator="lessThan">
      <formula>3</formula>
    </cfRule>
  </conditionalFormatting>
  <printOptions/>
  <pageMargins bottom="0.75" footer="0.0" header="0.0" left="0.7" right="0.7" top="0.75"/>
  <pageSetup scale="4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9.0"/>
    <col customWidth="1" min="3" max="5" width="8.71"/>
    <col customWidth="1" min="6" max="6" width="10.14"/>
    <col customWidth="1" min="7" max="10" width="8.71"/>
    <col customWidth="1" min="11" max="11" width="12.43"/>
    <col customWidth="1" min="12" max="18" width="8.71"/>
    <col customWidth="1" min="19" max="19" width="14.57"/>
    <col customWidth="1" min="20" max="20" width="17.43"/>
    <col customWidth="1" min="21" max="21" width="11.43"/>
    <col customWidth="1" min="22" max="24" width="10.71"/>
    <col customWidth="1" min="25" max="25" width="15.86"/>
  </cols>
  <sheetData>
    <row r="1" ht="81.0" customHeight="1">
      <c r="A1" s="73" t="s">
        <v>44</v>
      </c>
      <c r="U1" s="74"/>
      <c r="V1" s="74"/>
      <c r="W1" s="74"/>
      <c r="X1" s="74"/>
      <c r="Y1" s="74"/>
    </row>
    <row r="2" ht="14.25" customHeight="1">
      <c r="A2" s="75" t="s">
        <v>45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</row>
    <row r="3" ht="14.25" customHeight="1">
      <c r="A3" s="76" t="s">
        <v>46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8"/>
      <c r="U3" s="74"/>
      <c r="V3" s="74"/>
      <c r="W3" s="74"/>
      <c r="X3" s="74"/>
      <c r="Y3" s="74"/>
    </row>
    <row r="4" ht="14.25" customHeight="1">
      <c r="A4" s="79" t="s">
        <v>47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70"/>
      <c r="U4" s="74"/>
      <c r="V4" s="74"/>
      <c r="W4" s="74"/>
      <c r="X4" s="74"/>
      <c r="Y4" s="74"/>
    </row>
    <row r="5" ht="14.25" customHeight="1">
      <c r="A5" s="80"/>
      <c r="B5" s="81" t="s">
        <v>2</v>
      </c>
      <c r="C5" s="54"/>
      <c r="D5" s="54"/>
      <c r="E5" s="54"/>
      <c r="F5" s="54"/>
      <c r="G5" s="54"/>
      <c r="H5" s="54"/>
      <c r="I5" s="54"/>
      <c r="J5" s="70"/>
      <c r="K5" s="81" t="s">
        <v>3</v>
      </c>
      <c r="L5" s="54"/>
      <c r="M5" s="54"/>
      <c r="N5" s="54"/>
      <c r="O5" s="54"/>
      <c r="P5" s="54"/>
      <c r="Q5" s="54"/>
      <c r="R5" s="54"/>
      <c r="S5" s="54"/>
      <c r="T5" s="70"/>
      <c r="U5" s="74"/>
      <c r="V5" s="74"/>
      <c r="W5" s="74"/>
      <c r="X5" s="74"/>
      <c r="Y5" s="74"/>
    </row>
    <row r="6" ht="14.25" customHeight="1">
      <c r="A6" s="82" t="s">
        <v>48</v>
      </c>
      <c r="B6" s="83" t="s">
        <v>5</v>
      </c>
      <c r="C6" s="83" t="s">
        <v>49</v>
      </c>
      <c r="D6" s="83" t="s">
        <v>50</v>
      </c>
      <c r="E6" s="83" t="s">
        <v>51</v>
      </c>
      <c r="F6" s="83" t="s">
        <v>52</v>
      </c>
      <c r="G6" s="83" t="s">
        <v>10</v>
      </c>
      <c r="H6" s="83" t="s">
        <v>11</v>
      </c>
      <c r="I6" s="83" t="s">
        <v>12</v>
      </c>
      <c r="J6" s="83" t="s">
        <v>13</v>
      </c>
      <c r="K6" s="84" t="s">
        <v>5</v>
      </c>
      <c r="L6" s="84" t="s">
        <v>49</v>
      </c>
      <c r="M6" s="84" t="s">
        <v>50</v>
      </c>
      <c r="N6" s="84" t="s">
        <v>51</v>
      </c>
      <c r="O6" s="84" t="s">
        <v>52</v>
      </c>
      <c r="P6" s="84" t="s">
        <v>10</v>
      </c>
      <c r="Q6" s="84" t="s">
        <v>11</v>
      </c>
      <c r="R6" s="84" t="s">
        <v>12</v>
      </c>
      <c r="S6" s="84" t="s">
        <v>13</v>
      </c>
      <c r="T6" s="85" t="s">
        <v>53</v>
      </c>
      <c r="U6" s="74"/>
      <c r="V6" s="74"/>
      <c r="W6" s="74"/>
      <c r="X6" s="74"/>
      <c r="Y6" s="74"/>
    </row>
    <row r="7" ht="14.25" customHeight="1">
      <c r="A7" s="80" t="s">
        <v>54</v>
      </c>
      <c r="B7" s="86">
        <f>0+2+1-1+1</f>
        <v>3</v>
      </c>
      <c r="C7" s="87">
        <f>0+1+6-1+1+4-1+1-1-1+1-1</f>
        <v>9</v>
      </c>
      <c r="D7" s="86">
        <f>0+2+8-1+1+1-1+1-1+1+4-1+1-1-1+1-4</f>
        <v>10</v>
      </c>
      <c r="E7" s="86">
        <f>0+2+8-1+1-1-1+1</f>
        <v>9</v>
      </c>
      <c r="F7" s="86">
        <f>0+1+4-1+1-1-1+1+3</f>
        <v>7</v>
      </c>
      <c r="G7" s="86">
        <f>0+2-1+1+2-1+1-1-1+1</f>
        <v>3</v>
      </c>
      <c r="H7" s="86">
        <f>0+1+2</f>
        <v>3</v>
      </c>
      <c r="I7" s="86">
        <f t="shared" ref="I7:J7" si="1">0+1+1+1</f>
        <v>3</v>
      </c>
      <c r="J7" s="86">
        <f t="shared" si="1"/>
        <v>3</v>
      </c>
      <c r="K7" s="86">
        <f>0+1-1+5+1-1-1+1+1</f>
        <v>6</v>
      </c>
      <c r="L7" s="86">
        <f>0+1+10-1+1+1+1-1+1-1+1-1-1+1-1+2-1+1</f>
        <v>13</v>
      </c>
      <c r="M7" s="86">
        <f>0+3+15+1-1+1+1-1-2+1+2-1+1-1+1+1-2+2-1-1+1-2+1-1+1</f>
        <v>19</v>
      </c>
      <c r="N7" s="86">
        <f>0+1+1+15-1+1+1+1-1+1-1-1+2+1+2-1-1+1-3+1-2+2-3+3-1+1</f>
        <v>19</v>
      </c>
      <c r="O7" s="86">
        <f>0+1+10-1-3+1+3-2+1+3-2-1-1-1+1+2+1-2-1+1+1</f>
        <v>11</v>
      </c>
      <c r="P7" s="86">
        <f>0+1+8-1+1+1-1-1+1+1-1</f>
        <v>9</v>
      </c>
      <c r="Q7" s="86">
        <f>0+1+5</f>
        <v>6</v>
      </c>
      <c r="R7" s="86">
        <f>0+1+1+1-2+1</f>
        <v>2</v>
      </c>
      <c r="S7" s="86">
        <f>0+1+1-1</f>
        <v>1</v>
      </c>
      <c r="T7" s="85">
        <f t="shared" ref="T7:T8" si="2">SUM(B7:S7)</f>
        <v>136</v>
      </c>
      <c r="U7" s="74"/>
      <c r="V7" s="74"/>
      <c r="W7" s="74"/>
      <c r="X7" s="74"/>
      <c r="Y7" s="74"/>
    </row>
    <row r="8" ht="14.25" customHeight="1">
      <c r="A8" s="80" t="s">
        <v>55</v>
      </c>
      <c r="B8" s="86">
        <f>0+1+2+1-1-1+1</f>
        <v>3</v>
      </c>
      <c r="C8" s="86">
        <f>0+2+6-1+1+1-1+1-1+1-1-2</f>
        <v>6</v>
      </c>
      <c r="D8" s="86">
        <f>0+1+8-1+1+1+1-1-1+1-1+1-1+1+1+1</f>
        <v>12</v>
      </c>
      <c r="E8" s="86">
        <f>0+2+9+1-1+1-4+1+1+4-2-1-1+1+1-4+3</f>
        <v>11</v>
      </c>
      <c r="F8" s="86">
        <f>0+2+3-1+1-1-1+1+1-2-1+1-1+1+1-1+1</f>
        <v>4</v>
      </c>
      <c r="G8" s="87">
        <f>0+1+2-1+2+1+3-2+1</f>
        <v>7</v>
      </c>
      <c r="H8" s="86">
        <f>0+1+2+1+1-2</f>
        <v>3</v>
      </c>
      <c r="I8" s="86">
        <f>0+1+1+1-1</f>
        <v>2</v>
      </c>
      <c r="J8" s="87">
        <f>0+1+1+1-2</f>
        <v>1</v>
      </c>
      <c r="K8" s="86">
        <f>0+1+5+1-1+1+1-1+1-1+1-1</f>
        <v>7</v>
      </c>
      <c r="L8" s="86">
        <f>0+3+10+1-1+1+1-3-1</f>
        <v>11</v>
      </c>
      <c r="M8" s="86">
        <f>0+1+15-1-1+1+1-1-1+1-7+1+1+1+7-1+1-1-1+1-2+1-1+1</f>
        <v>16</v>
      </c>
      <c r="N8" s="86">
        <f>0+1+15+1-1-1-1+1-1-7+1+7+1+2+1+1</f>
        <v>20</v>
      </c>
      <c r="O8" s="86">
        <f>0+3+10-1+1+1-1-1+1-7+1+7-3</f>
        <v>11</v>
      </c>
      <c r="P8" s="86">
        <f>0+10</f>
        <v>10</v>
      </c>
      <c r="Q8" s="86">
        <f>0+1+5-1+1-1</f>
        <v>5</v>
      </c>
      <c r="R8" s="86">
        <f>0+1</f>
        <v>1</v>
      </c>
      <c r="S8" s="86">
        <f>0+1+1</f>
        <v>2</v>
      </c>
      <c r="T8" s="85">
        <f t="shared" si="2"/>
        <v>132</v>
      </c>
      <c r="U8" s="74"/>
      <c r="V8" s="74"/>
      <c r="W8" s="74"/>
      <c r="X8" s="74"/>
      <c r="Y8" s="74"/>
    </row>
    <row r="9" ht="14.25" customHeight="1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88">
        <f>SUM(T7:T8)</f>
        <v>268</v>
      </c>
      <c r="U9" s="74"/>
      <c r="V9" s="74"/>
      <c r="W9" s="74"/>
      <c r="X9" s="74"/>
      <c r="Y9" s="74"/>
    </row>
    <row r="10" ht="14.25" customHeight="1">
      <c r="A10" s="74"/>
      <c r="B10" s="74"/>
      <c r="C10" s="75" t="s">
        <v>0</v>
      </c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</row>
    <row r="11" ht="14.25" customHeight="1">
      <c r="A11" s="79" t="s">
        <v>56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70"/>
      <c r="U11" s="74"/>
      <c r="V11" s="74"/>
      <c r="W11" s="74"/>
      <c r="X11" s="74"/>
      <c r="Y11" s="74"/>
    </row>
    <row r="12" ht="14.25" customHeight="1">
      <c r="A12" s="80"/>
      <c r="B12" s="81" t="s">
        <v>2</v>
      </c>
      <c r="C12" s="54"/>
      <c r="D12" s="54"/>
      <c r="E12" s="54"/>
      <c r="F12" s="54"/>
      <c r="G12" s="54"/>
      <c r="H12" s="54"/>
      <c r="I12" s="54"/>
      <c r="J12" s="70"/>
      <c r="K12" s="81" t="s">
        <v>3</v>
      </c>
      <c r="L12" s="54"/>
      <c r="M12" s="54"/>
      <c r="N12" s="54"/>
      <c r="O12" s="54"/>
      <c r="P12" s="54"/>
      <c r="Q12" s="54"/>
      <c r="R12" s="54"/>
      <c r="S12" s="54"/>
      <c r="T12" s="70"/>
      <c r="U12" s="74"/>
      <c r="V12" s="74"/>
      <c r="W12" s="74"/>
      <c r="X12" s="74"/>
      <c r="Y12" s="74"/>
    </row>
    <row r="13" ht="14.25" customHeight="1">
      <c r="A13" s="80"/>
      <c r="B13" s="89" t="s">
        <v>5</v>
      </c>
      <c r="C13" s="89" t="s">
        <v>49</v>
      </c>
      <c r="D13" s="89" t="s">
        <v>50</v>
      </c>
      <c r="E13" s="89" t="s">
        <v>51</v>
      </c>
      <c r="F13" s="89" t="s">
        <v>52</v>
      </c>
      <c r="G13" s="89" t="s">
        <v>10</v>
      </c>
      <c r="H13" s="89" t="s">
        <v>11</v>
      </c>
      <c r="I13" s="89" t="s">
        <v>12</v>
      </c>
      <c r="J13" s="89" t="s">
        <v>13</v>
      </c>
      <c r="K13" s="84" t="s">
        <v>5</v>
      </c>
      <c r="L13" s="84" t="s">
        <v>49</v>
      </c>
      <c r="M13" s="84" t="s">
        <v>50</v>
      </c>
      <c r="N13" s="84" t="s">
        <v>51</v>
      </c>
      <c r="O13" s="84" t="s">
        <v>52</v>
      </c>
      <c r="P13" s="84" t="s">
        <v>10</v>
      </c>
      <c r="Q13" s="84" t="s">
        <v>11</v>
      </c>
      <c r="R13" s="84" t="s">
        <v>12</v>
      </c>
      <c r="S13" s="84" t="s">
        <v>13</v>
      </c>
      <c r="T13" s="85" t="s">
        <v>53</v>
      </c>
      <c r="U13" s="74"/>
      <c r="V13" s="74"/>
      <c r="W13" s="74"/>
      <c r="X13" s="74"/>
      <c r="Y13" s="74"/>
    </row>
    <row r="14" ht="14.25" customHeight="1">
      <c r="A14" s="80" t="s">
        <v>54</v>
      </c>
      <c r="B14" s="86">
        <f>0+2+2-1-1+1+1+1+1-1+1+1-1+1-1+1+1</f>
        <v>8</v>
      </c>
      <c r="C14" s="86">
        <f>0+1+3+3-1-1-1+1+1+1-1-3+1+1+1+1+1-1+1+1-1-1+1-3+3-1+1-1+1+1-4+4+4-1+1-2+2-3-2+2-2+2</f>
        <v>10</v>
      </c>
      <c r="D14" s="86">
        <f>0+2+5-1+1+3-6-1-1+6-1+1+1-6-1+1-3+6-1-5+1+3+3+4-1-2+2+1+1-1+1+1-1+1-3+3-1-1+1-1+1+1-12+12+12-4+4+1</f>
        <v>26</v>
      </c>
      <c r="E14" s="86">
        <f>0+3+5-1+2-1+3-2+1+1-1-1+2+1+1-1-4-1-4+1+4+4+4-1-1+1+1-1-1+1+1-1+1+1-7+7-1+1-1-1+1+1-2+2</f>
        <v>17</v>
      </c>
      <c r="F14" s="86">
        <f>0+3+3+3-2-1-1+2-1+1+1+1-1-1+1+2+1-1+1+2-3-1+1+1-1+1-1+1-1-1+1+1-1+1</f>
        <v>11</v>
      </c>
      <c r="G14" s="86">
        <f>0+2+2+3-1-1+1+1-1-1+1+1+1-1+1-1+1+1-1+1+1-1+1+1</f>
        <v>11</v>
      </c>
      <c r="H14" s="86">
        <f>0+1-1+3-1+1+1-1+1+1-1+1-1+1+1</f>
        <v>6</v>
      </c>
      <c r="I14" s="86">
        <f t="shared" ref="I14:J14" si="3">0+1+1-1+1+1-1+1-1+1+1</f>
        <v>4</v>
      </c>
      <c r="J14" s="86">
        <f t="shared" si="3"/>
        <v>4</v>
      </c>
      <c r="K14" s="86">
        <f>0+1+4-1+1-1+1+6+2-1-1+1-1+1-1+1+1</f>
        <v>13</v>
      </c>
      <c r="L14" s="86">
        <f>0+7+7+13+9+7-1+1+3-1-1-3+1+1+1-1-1+3+1+1+1-1-1-1-1-2+1+1+1+2-1+1-2+2+2-2+1-1+1+1-1-1+1-1+1-2+2-1-1+1+1-22-1+1-5-2+2</f>
        <v>21</v>
      </c>
      <c r="M14" s="86">
        <f>0+1+10-2+2+3-1-1-2-1-1+1-3-4+1+1+1+4+3-1-2-1-1-6+1+2+2+1+1+1-1+6+1-1-1+1-1+3+1-1+1-1+1+1-1+1-1+1+5-4-1+1-1+1+1-1+1+1-20-1</f>
        <v>0</v>
      </c>
      <c r="N14" s="86">
        <f>0+1-1+1+10-1+1+3-4-6-1-1-1-1+4+6+1-1-2+1+1+1+2+1-6-1-1-1-2-2+2-2+1+2+1-1-1-2-1+2+1+1-1-1+1+1-1-1+1-3+5-5+1+1-2+1-1+1+1-2+1-1+1-1</f>
        <v>0</v>
      </c>
      <c r="O14" s="86">
        <f>0+3+15-1+8+1-1+1-1-3+3+3-4+1+1-1-1-1-1+1-1+4+1-1+1+1-1+1-8-2-1-2-1-4+1+1+1+2+3+8-1+4-3-1+3+1+1+1-1-2+1-1+1+1+1-1+1-1-1+1-1-7-1-1-1+1+1-1+1-12+12+1-22+12+1-1-1+1+1</f>
        <v>13</v>
      </c>
      <c r="P14" s="86">
        <f>0+2+5-1+1-3+3+3-5-2-1-1-1+5+2+1+1-6-1-1-1+1-1+1-1+1-1+1+1+1-1+1-3+3+6-1+1-9+8</f>
        <v>8</v>
      </c>
      <c r="Q14" s="86">
        <f>0+1-1+5+1-2-1-1+2+1+1-3-1-1-1+1+1+1+3+1+2+1+1+1+1-3-1+1+1-1+1-1-1-1+1+1+1</f>
        <v>11</v>
      </c>
      <c r="R14" s="86">
        <f>0+1+1-1-1+6+1+1+1-1+1-1+1+1-1-1+1+1+1-1+1+1</f>
        <v>12</v>
      </c>
      <c r="S14" s="86">
        <f>0</f>
        <v>0</v>
      </c>
      <c r="T14" s="85">
        <f t="shared" ref="T14:T16" si="4">SUM(B14:S14)</f>
        <v>175</v>
      </c>
      <c r="U14" s="74"/>
      <c r="V14" s="74"/>
      <c r="W14" s="74"/>
      <c r="X14" s="74"/>
      <c r="Y14" s="74"/>
    </row>
    <row r="15" ht="14.25" customHeight="1">
      <c r="A15" s="80" t="s">
        <v>55</v>
      </c>
      <c r="B15" s="86">
        <f>0+2</f>
        <v>2</v>
      </c>
      <c r="C15" s="86">
        <f>0+1-1+2-1+1+1+3-4+1-1+1</f>
        <v>3</v>
      </c>
      <c r="D15" s="86">
        <f>0+4+1-1+1-1-1+1+1-1-1+1+1-1+1-2+1-2+3-1</f>
        <v>4</v>
      </c>
      <c r="E15" s="86">
        <f>0+1+1+1-1+1</f>
        <v>3</v>
      </c>
      <c r="F15" s="86">
        <f>0</f>
        <v>0</v>
      </c>
      <c r="G15" s="86">
        <f>0+1-1+1-1+1+2-1-1</f>
        <v>1</v>
      </c>
      <c r="H15" s="86">
        <f>0+2-1+1+1</f>
        <v>3</v>
      </c>
      <c r="I15" s="86">
        <f>0+1+1</f>
        <v>2</v>
      </c>
      <c r="J15" s="86">
        <f>0+1</f>
        <v>1</v>
      </c>
      <c r="K15" s="86">
        <f>0+3-1</f>
        <v>2</v>
      </c>
      <c r="L15" s="86">
        <f>0+1+5-1+1-1+1-1+1-1+1</f>
        <v>6</v>
      </c>
      <c r="M15" s="86">
        <f>0+5-1+1-1-1-1+1+1-1+1+1-4+4-1+1+2-1+1</f>
        <v>7</v>
      </c>
      <c r="N15" s="86">
        <f>0+5-1+1+1-3+3-1+1+1-1+1+1-1-2+1+2+1+1</f>
        <v>10</v>
      </c>
      <c r="O15" s="86">
        <f>0+3-1-2+1+2-1+1-1-1+1+2-1-1+1</f>
        <v>3</v>
      </c>
      <c r="P15" s="86">
        <f>0+1-1+1-1+2-1+1+1+1</f>
        <v>4</v>
      </c>
      <c r="Q15" s="86">
        <f>0+1-1+1-1+1+1</f>
        <v>2</v>
      </c>
      <c r="R15" s="86">
        <f>0+2</f>
        <v>2</v>
      </c>
      <c r="S15" s="86">
        <f>0+1-1+1-1+1+1</f>
        <v>2</v>
      </c>
      <c r="T15" s="90">
        <f t="shared" si="4"/>
        <v>57</v>
      </c>
      <c r="U15" s="74"/>
      <c r="V15" s="74"/>
      <c r="W15" s="74"/>
      <c r="X15" s="74"/>
      <c r="Y15" s="74"/>
    </row>
    <row r="16" ht="14.25" customHeight="1">
      <c r="A16" s="80" t="s">
        <v>57</v>
      </c>
      <c r="B16" s="86">
        <f>0+1+2-1</f>
        <v>2</v>
      </c>
      <c r="C16" s="86">
        <f t="shared" ref="C16:E16" si="5">0+1+1</f>
        <v>2</v>
      </c>
      <c r="D16" s="86">
        <f t="shared" si="5"/>
        <v>2</v>
      </c>
      <c r="E16" s="86">
        <f t="shared" si="5"/>
        <v>2</v>
      </c>
      <c r="F16" s="86">
        <f t="shared" ref="F16:G16" si="6">0+1</f>
        <v>1</v>
      </c>
      <c r="G16" s="86">
        <f t="shared" si="6"/>
        <v>1</v>
      </c>
      <c r="H16" s="86">
        <f t="shared" ref="H16:J16" si="7">0</f>
        <v>0</v>
      </c>
      <c r="I16" s="86">
        <f t="shared" si="7"/>
        <v>0</v>
      </c>
      <c r="J16" s="86">
        <f t="shared" si="7"/>
        <v>0</v>
      </c>
      <c r="K16" s="86">
        <f>0+2</f>
        <v>2</v>
      </c>
      <c r="L16" s="86">
        <f>0+4+2</f>
        <v>6</v>
      </c>
      <c r="M16" s="86">
        <f>0+2+2-1+1</f>
        <v>4</v>
      </c>
      <c r="N16" s="86">
        <f>0+2+1+2-1-1+1</f>
        <v>4</v>
      </c>
      <c r="O16" s="86">
        <f>0+1+1</f>
        <v>2</v>
      </c>
      <c r="P16" s="86">
        <f>0+2+1+2-1-1</f>
        <v>3</v>
      </c>
      <c r="Q16" s="86">
        <f>0+1+2+1</f>
        <v>4</v>
      </c>
      <c r="R16" s="86">
        <f>0+1+1</f>
        <v>2</v>
      </c>
      <c r="S16" s="86">
        <f>0+1</f>
        <v>1</v>
      </c>
      <c r="T16" s="90">
        <f t="shared" si="4"/>
        <v>38</v>
      </c>
      <c r="U16" s="74"/>
      <c r="V16" s="74"/>
      <c r="W16" s="74"/>
      <c r="X16" s="74"/>
      <c r="Y16" s="74"/>
    </row>
    <row r="17" ht="14.25" customHeight="1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88">
        <f>SUM(T14:T16)</f>
        <v>270</v>
      </c>
      <c r="U17" s="74"/>
      <c r="V17" s="74"/>
      <c r="W17" s="74"/>
      <c r="X17" s="74"/>
      <c r="Y17" s="74"/>
    </row>
    <row r="18" ht="14.25" customHeight="1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</row>
    <row r="19" ht="14.25" customHeight="1">
      <c r="A19" s="79" t="s">
        <v>58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70"/>
      <c r="U19" s="74"/>
      <c r="V19" s="74"/>
      <c r="W19" s="74"/>
      <c r="X19" s="74"/>
      <c r="Y19" s="74"/>
    </row>
    <row r="20" ht="14.25" customHeight="1">
      <c r="A20" s="80"/>
      <c r="B20" s="81" t="s">
        <v>2</v>
      </c>
      <c r="C20" s="54"/>
      <c r="D20" s="54"/>
      <c r="E20" s="54"/>
      <c r="F20" s="54"/>
      <c r="G20" s="54"/>
      <c r="H20" s="54"/>
      <c r="I20" s="54"/>
      <c r="J20" s="70"/>
      <c r="K20" s="81" t="s">
        <v>3</v>
      </c>
      <c r="L20" s="54"/>
      <c r="M20" s="54"/>
      <c r="N20" s="54"/>
      <c r="O20" s="54"/>
      <c r="P20" s="54"/>
      <c r="Q20" s="54"/>
      <c r="R20" s="54"/>
      <c r="S20" s="54"/>
      <c r="T20" s="70"/>
      <c r="U20" s="74"/>
      <c r="V20" s="74"/>
      <c r="W20" s="74"/>
      <c r="X20" s="74"/>
      <c r="Y20" s="74"/>
    </row>
    <row r="21" ht="14.25" customHeight="1">
      <c r="A21" s="80"/>
      <c r="B21" s="89" t="s">
        <v>5</v>
      </c>
      <c r="C21" s="89" t="s">
        <v>49</v>
      </c>
      <c r="D21" s="89" t="s">
        <v>50</v>
      </c>
      <c r="E21" s="89" t="s">
        <v>51</v>
      </c>
      <c r="F21" s="89" t="s">
        <v>52</v>
      </c>
      <c r="G21" s="89" t="s">
        <v>10</v>
      </c>
      <c r="H21" s="89" t="s">
        <v>11</v>
      </c>
      <c r="I21" s="89" t="s">
        <v>12</v>
      </c>
      <c r="J21" s="89" t="s">
        <v>13</v>
      </c>
      <c r="K21" s="84" t="s">
        <v>5</v>
      </c>
      <c r="L21" s="84" t="s">
        <v>49</v>
      </c>
      <c r="M21" s="84" t="s">
        <v>50</v>
      </c>
      <c r="N21" s="84" t="s">
        <v>51</v>
      </c>
      <c r="O21" s="84" t="s">
        <v>52</v>
      </c>
      <c r="P21" s="84" t="s">
        <v>10</v>
      </c>
      <c r="Q21" s="84" t="s">
        <v>11</v>
      </c>
      <c r="R21" s="84" t="s">
        <v>12</v>
      </c>
      <c r="S21" s="84" t="s">
        <v>13</v>
      </c>
      <c r="T21" s="85" t="s">
        <v>53</v>
      </c>
      <c r="U21" s="74"/>
      <c r="V21" s="74"/>
      <c r="W21" s="74"/>
      <c r="X21" s="74"/>
      <c r="Y21" s="74"/>
    </row>
    <row r="22" ht="14.25" customHeight="1">
      <c r="A22" s="80" t="s">
        <v>54</v>
      </c>
      <c r="B22" s="86">
        <f>0+2+2-1+1-2-1+1+1-1+1</f>
        <v>3</v>
      </c>
      <c r="C22" s="86">
        <f>0+2+6-1+1-1-1-1+1+3+1-1-1-1+1+2+1-1+1-4+4-1+1</f>
        <v>11</v>
      </c>
      <c r="D22" s="86">
        <f>0+1+8-1+1-1-1-2-1+1+2+1-1+1-1+4-1+1-1-1+1-1+1</f>
        <v>10</v>
      </c>
      <c r="E22" s="86">
        <f>0+1+8-1+1-1-3+1+1-3-1+3+3+1-1-1+1+1-1+1+1+1-1+1-1+1</f>
        <v>12</v>
      </c>
      <c r="F22" s="86">
        <f>0+1+4-1+1-2-1+2+1-1+1-2-1+2-1+1+1-1+1-1+1</f>
        <v>5</v>
      </c>
      <c r="G22" s="86">
        <f>0+2+2-1+1-1-1+1+1+1-1+1+2-1-1+1</f>
        <v>6</v>
      </c>
      <c r="H22" s="86">
        <f>0+2+2-1+1</f>
        <v>4</v>
      </c>
      <c r="I22" s="86">
        <f>0+1+1</f>
        <v>2</v>
      </c>
      <c r="J22" s="86">
        <f>0+2+1</f>
        <v>3</v>
      </c>
      <c r="K22" s="86">
        <f>0+2+5-1+1+1-1+1</f>
        <v>8</v>
      </c>
      <c r="L22" s="86">
        <f>0+3+10-1+1-2-1-1+1+1-1-1+1-2+1+1-2+1-1+2+2+1-1+1</f>
        <v>13</v>
      </c>
      <c r="M22" s="86">
        <f>0+3+1+15-1+1-2-3-1+3+4-1+1-1-1-3-1+1+3-5-1+2-4+5+1-2+1+1-1-2+3+1+2+2-1-4-1+1+4-2+1+1-1+1+1+1+1-1+1-3+3-1+1+1-1</f>
        <v>23</v>
      </c>
      <c r="N22" s="86">
        <f>0+1+15-1-1+1+1-3-1-6+1-1+6+3+1-1-1-12+1+1+1+12-1+1-9-1-1-4+1-2-1+2-1+2-1-1+1+1-3+2-1+1-1+1-2+2-1-1+1+1+1</f>
        <v>3</v>
      </c>
      <c r="O22" s="86">
        <f>0+1+1+10-1+1-3+1-4-1+4+3+1-1-1-1-1+1+1+1+1-5+1+1-2+5-1-1-2-9+1+1-1-1+1-1+1</f>
        <v>1</v>
      </c>
      <c r="P22" s="86">
        <f>0+1+8-1+1-1-4-1+1-1+1+4+1-1-1+1-1+1+1-1+1-2+1+1-1-2+1+1-2+2+3-1+1+1-1+1</f>
        <v>12</v>
      </c>
      <c r="Q22" s="86">
        <f>0+2+5-1-1+1+1-1+1+1+1+3+4-1-2+2+1-1+1+1</f>
        <v>17</v>
      </c>
      <c r="R22" s="86">
        <f>0+2+1-1+1-1-2</f>
        <v>0</v>
      </c>
      <c r="S22" s="86">
        <f>0+1+1-1-1</f>
        <v>0</v>
      </c>
      <c r="T22" s="91">
        <f t="shared" ref="T22:T28" si="8">SUM(B22:S22)</f>
        <v>133</v>
      </c>
      <c r="U22" s="74"/>
      <c r="V22" s="74"/>
      <c r="W22" s="74"/>
      <c r="X22" s="74"/>
      <c r="Y22" s="74"/>
    </row>
    <row r="23" ht="14.25" customHeight="1">
      <c r="A23" s="80" t="s">
        <v>55</v>
      </c>
      <c r="B23" s="86">
        <f>0+1+2+1-1+1-1-1+1</f>
        <v>3</v>
      </c>
      <c r="C23" s="86">
        <f>0+3+6-1-2+2-1-1+1</f>
        <v>7</v>
      </c>
      <c r="D23" s="86">
        <f>0+1+8-1+1+2-1-1-4+4-1-1+1</f>
        <v>8</v>
      </c>
      <c r="E23" s="86">
        <f>0+1+8-1+1-1+3-1-1-1+1-1-1+1-1+1</f>
        <v>8</v>
      </c>
      <c r="F23" s="86">
        <f>0+1+1+4-1+1-1+1-1+1-2-1+1</f>
        <v>4</v>
      </c>
      <c r="G23" s="86">
        <f>0+2+2+1-1-1+1-1-1+1</f>
        <v>3</v>
      </c>
      <c r="H23" s="86">
        <f>0+1+1+2-2-1+1</f>
        <v>2</v>
      </c>
      <c r="I23" s="86">
        <f>0+2</f>
        <v>2</v>
      </c>
      <c r="J23" s="86">
        <f>0</f>
        <v>0</v>
      </c>
      <c r="K23" s="86">
        <f>0+2+5-1-1+1</f>
        <v>6</v>
      </c>
      <c r="L23" s="86">
        <f>0+1+10-1-4+4-4-1+1</f>
        <v>6</v>
      </c>
      <c r="M23" s="86">
        <f>0+1+15-1+1-1-2+1+3-1-5+5+1-1-9+9-4+4-1+1-1+1</f>
        <v>16</v>
      </c>
      <c r="N23" s="86">
        <f>0+15-1+1-1+1-1-3+1+1-1+4+1-1-2+1+2-1+1-6+6-1+1-4-2+2+4-13-2+13-1+1</f>
        <v>15</v>
      </c>
      <c r="O23" s="86">
        <f>0+1+1+10+1-1-1-1-1+1+1-3+3+1-1+1-1+1+1-5+5-4-2+2+4-1+1</f>
        <v>13</v>
      </c>
      <c r="P23" s="86">
        <f>0+2+8-1-1+1+1+1-1-3+3-1+1-1+1</f>
        <v>10</v>
      </c>
      <c r="Q23" s="86">
        <f>0+1+5-1+1</f>
        <v>6</v>
      </c>
      <c r="R23" s="86">
        <f>0+1+1</f>
        <v>2</v>
      </c>
      <c r="S23" s="86">
        <f>0+2+1-1+1</f>
        <v>3</v>
      </c>
      <c r="T23" s="91">
        <f t="shared" si="8"/>
        <v>114</v>
      </c>
      <c r="U23" s="74"/>
      <c r="V23" s="74"/>
      <c r="W23" s="74"/>
      <c r="X23" s="74"/>
      <c r="Y23" s="74"/>
    </row>
    <row r="24" ht="14.25" customHeight="1">
      <c r="A24" s="48" t="s">
        <v>43</v>
      </c>
      <c r="B24" s="92">
        <f>0+2+1-1</f>
        <v>2</v>
      </c>
      <c r="C24" s="92">
        <f>0+3-1+1-1+1</f>
        <v>3</v>
      </c>
      <c r="D24" s="92">
        <f>0+3-1+1-1+1-1+1</f>
        <v>3</v>
      </c>
      <c r="E24" s="92">
        <f>0+3-1+1+1-1+1</f>
        <v>4</v>
      </c>
      <c r="F24" s="92">
        <f>0+1+2-1+1+1-1</f>
        <v>3</v>
      </c>
      <c r="G24" s="92">
        <f>0+2-1+1-1+1-1</f>
        <v>1</v>
      </c>
      <c r="H24" s="92">
        <f>0+1+1-1+1</f>
        <v>2</v>
      </c>
      <c r="I24" s="92">
        <f t="shared" ref="I24:J24" si="9">0+1-1+1</f>
        <v>1</v>
      </c>
      <c r="J24" s="92">
        <f t="shared" si="9"/>
        <v>1</v>
      </c>
      <c r="K24" s="92">
        <f>0+2-1</f>
        <v>1</v>
      </c>
      <c r="L24" s="92">
        <f>0+1+3-1-1+1-3+3+1-1+1</f>
        <v>4</v>
      </c>
      <c r="M24" s="92">
        <f>0+1+5-1-1+1+1-4+4-1-1+1</f>
        <v>5</v>
      </c>
      <c r="N24" s="92">
        <f>0+1-1+1+3-1+1-4+4+1-1+1-1</f>
        <v>4</v>
      </c>
      <c r="O24" s="92">
        <f>0+3-1+1-1+1-1+1+1-1-1+1</f>
        <v>3</v>
      </c>
      <c r="P24" s="92">
        <f>3-2-1+1-1+1-1+1-1+1</f>
        <v>1</v>
      </c>
      <c r="Q24" s="92">
        <f>0+2-1-1+1+1-1+1</f>
        <v>2</v>
      </c>
      <c r="R24" s="92">
        <f t="shared" ref="R24:S24" si="10">0+1-1+1</f>
        <v>1</v>
      </c>
      <c r="S24" s="93">
        <f t="shared" si="10"/>
        <v>1</v>
      </c>
      <c r="T24" s="94">
        <f t="shared" si="8"/>
        <v>42</v>
      </c>
      <c r="U24" s="74"/>
      <c r="V24" s="74"/>
      <c r="W24" s="74"/>
      <c r="X24" s="74"/>
      <c r="Y24" s="74"/>
    </row>
    <row r="25" ht="14.25" customHeight="1">
      <c r="A25" s="80" t="s">
        <v>59</v>
      </c>
      <c r="B25" s="86">
        <f>0+1</f>
        <v>1</v>
      </c>
      <c r="C25" s="86">
        <f t="shared" ref="C25:H25" si="11">0</f>
        <v>0</v>
      </c>
      <c r="D25" s="86">
        <f t="shared" si="11"/>
        <v>0</v>
      </c>
      <c r="E25" s="86">
        <f t="shared" si="11"/>
        <v>0</v>
      </c>
      <c r="F25" s="86">
        <f t="shared" si="11"/>
        <v>0</v>
      </c>
      <c r="G25" s="86">
        <f t="shared" si="11"/>
        <v>0</v>
      </c>
      <c r="H25" s="86">
        <f t="shared" si="11"/>
        <v>0</v>
      </c>
      <c r="I25" s="86">
        <f>0+1</f>
        <v>1</v>
      </c>
      <c r="J25" s="86">
        <f t="shared" ref="J25:K25" si="12">0</f>
        <v>0</v>
      </c>
      <c r="K25" s="86">
        <f t="shared" si="12"/>
        <v>0</v>
      </c>
      <c r="L25" s="86">
        <f>0+1</f>
        <v>1</v>
      </c>
      <c r="M25" s="86">
        <f t="shared" ref="M25:S25" si="13">0</f>
        <v>0</v>
      </c>
      <c r="N25" s="86">
        <f t="shared" si="13"/>
        <v>0</v>
      </c>
      <c r="O25" s="86">
        <f t="shared" si="13"/>
        <v>0</v>
      </c>
      <c r="P25" s="86">
        <f t="shared" si="13"/>
        <v>0</v>
      </c>
      <c r="Q25" s="86">
        <f t="shared" si="13"/>
        <v>0</v>
      </c>
      <c r="R25" s="86">
        <f t="shared" si="13"/>
        <v>0</v>
      </c>
      <c r="S25" s="95">
        <f t="shared" si="13"/>
        <v>0</v>
      </c>
      <c r="T25" s="96">
        <f t="shared" si="8"/>
        <v>3</v>
      </c>
      <c r="U25" s="74"/>
      <c r="V25" s="74"/>
      <c r="W25" s="74"/>
      <c r="X25" s="74"/>
      <c r="Y25" s="74"/>
    </row>
    <row r="26" ht="14.25" customHeight="1">
      <c r="A26" s="80" t="s">
        <v>57</v>
      </c>
      <c r="B26" s="86">
        <f>0+1+2-1+1</f>
        <v>3</v>
      </c>
      <c r="C26" s="86">
        <f t="shared" ref="C26:D26" si="14">0+3</f>
        <v>3</v>
      </c>
      <c r="D26" s="86">
        <f t="shared" si="14"/>
        <v>3</v>
      </c>
      <c r="E26" s="86">
        <f>0+1+3-2+2-3+3</f>
        <v>4</v>
      </c>
      <c r="F26" s="86">
        <f t="shared" ref="F26:G26" si="15">0+2</f>
        <v>2</v>
      </c>
      <c r="G26" s="86">
        <f t="shared" si="15"/>
        <v>2</v>
      </c>
      <c r="H26" s="86">
        <f t="shared" ref="H26:J26" si="16">0+1</f>
        <v>1</v>
      </c>
      <c r="I26" s="86">
        <f t="shared" si="16"/>
        <v>1</v>
      </c>
      <c r="J26" s="86">
        <f t="shared" si="16"/>
        <v>1</v>
      </c>
      <c r="K26" s="86">
        <f t="shared" ref="K26:K27" si="20">0+2</f>
        <v>2</v>
      </c>
      <c r="L26" s="86">
        <f>0+3-1+1</f>
        <v>3</v>
      </c>
      <c r="M26" s="86">
        <f>0+2+5-1+1</f>
        <v>7</v>
      </c>
      <c r="N26" s="86">
        <f>0+5-1+1-1+1</f>
        <v>5</v>
      </c>
      <c r="O26" s="86">
        <f>0+3-1+1-1+1</f>
        <v>3</v>
      </c>
      <c r="P26" s="86">
        <f>0+2+1-1-1+1</f>
        <v>2</v>
      </c>
      <c r="Q26" s="86">
        <f>0+2</f>
        <v>2</v>
      </c>
      <c r="R26" s="86">
        <f t="shared" ref="R26:S26" si="17">0+1</f>
        <v>1</v>
      </c>
      <c r="S26" s="95">
        <f t="shared" si="17"/>
        <v>1</v>
      </c>
      <c r="T26" s="91">
        <f t="shared" si="8"/>
        <v>46</v>
      </c>
      <c r="U26" s="74"/>
      <c r="V26" s="74"/>
      <c r="W26" s="74"/>
      <c r="X26" s="74"/>
      <c r="Y26" s="74"/>
    </row>
    <row r="27" ht="14.25" customHeight="1">
      <c r="A27" s="80" t="s">
        <v>60</v>
      </c>
      <c r="B27" s="86">
        <f>0+1+2</f>
        <v>3</v>
      </c>
      <c r="C27" s="86">
        <f>0+3+1</f>
        <v>4</v>
      </c>
      <c r="D27" s="86">
        <f>0+3+1-1</f>
        <v>3</v>
      </c>
      <c r="E27" s="86">
        <f>0+1+3+3+1</f>
        <v>8</v>
      </c>
      <c r="F27" s="86">
        <f t="shared" ref="F27:G27" si="18">0+2</f>
        <v>2</v>
      </c>
      <c r="G27" s="86">
        <f t="shared" si="18"/>
        <v>2</v>
      </c>
      <c r="H27" s="86">
        <f t="shared" ref="H27:J27" si="19">0+1</f>
        <v>1</v>
      </c>
      <c r="I27" s="86">
        <f t="shared" si="19"/>
        <v>1</v>
      </c>
      <c r="J27" s="86">
        <f t="shared" si="19"/>
        <v>1</v>
      </c>
      <c r="K27" s="86">
        <f t="shared" si="20"/>
        <v>2</v>
      </c>
      <c r="L27" s="86">
        <f>0+1+3-3+3+1</f>
        <v>5</v>
      </c>
      <c r="M27" s="86">
        <f>0+1+5+3</f>
        <v>9</v>
      </c>
      <c r="N27" s="86">
        <f>0+5-5+5-1+1+1-1+1-1+1</f>
        <v>6</v>
      </c>
      <c r="O27" s="86">
        <f>0+3-1+1</f>
        <v>3</v>
      </c>
      <c r="P27" s="86">
        <f t="shared" ref="P27:Q27" si="21">0+2</f>
        <v>2</v>
      </c>
      <c r="Q27" s="86">
        <f t="shared" si="21"/>
        <v>2</v>
      </c>
      <c r="R27" s="86">
        <f t="shared" ref="R27:S27" si="22">0+1</f>
        <v>1</v>
      </c>
      <c r="S27" s="95">
        <f t="shared" si="22"/>
        <v>1</v>
      </c>
      <c r="T27" s="91">
        <f t="shared" si="8"/>
        <v>56</v>
      </c>
      <c r="U27" s="74"/>
      <c r="V27" s="74"/>
      <c r="W27" s="74"/>
      <c r="X27" s="74"/>
      <c r="Y27" s="74"/>
    </row>
    <row r="28" ht="14.25" customHeight="1">
      <c r="A28" s="80" t="s">
        <v>61</v>
      </c>
      <c r="B28" s="86">
        <f t="shared" ref="B28:S28" si="23">0</f>
        <v>0</v>
      </c>
      <c r="C28" s="86">
        <f t="shared" si="23"/>
        <v>0</v>
      </c>
      <c r="D28" s="86">
        <f t="shared" si="23"/>
        <v>0</v>
      </c>
      <c r="E28" s="86">
        <f t="shared" si="23"/>
        <v>0</v>
      </c>
      <c r="F28" s="86">
        <f t="shared" si="23"/>
        <v>0</v>
      </c>
      <c r="G28" s="86">
        <f t="shared" si="23"/>
        <v>0</v>
      </c>
      <c r="H28" s="86">
        <f t="shared" si="23"/>
        <v>0</v>
      </c>
      <c r="I28" s="86">
        <f t="shared" si="23"/>
        <v>0</v>
      </c>
      <c r="J28" s="86">
        <f t="shared" si="23"/>
        <v>0</v>
      </c>
      <c r="K28" s="86">
        <f t="shared" si="23"/>
        <v>0</v>
      </c>
      <c r="L28" s="86">
        <f t="shared" si="23"/>
        <v>0</v>
      </c>
      <c r="M28" s="86">
        <f t="shared" si="23"/>
        <v>0</v>
      </c>
      <c r="N28" s="86">
        <f t="shared" si="23"/>
        <v>0</v>
      </c>
      <c r="O28" s="86">
        <f t="shared" si="23"/>
        <v>0</v>
      </c>
      <c r="P28" s="86">
        <f t="shared" si="23"/>
        <v>0</v>
      </c>
      <c r="Q28" s="86">
        <f t="shared" si="23"/>
        <v>0</v>
      </c>
      <c r="R28" s="86">
        <f t="shared" si="23"/>
        <v>0</v>
      </c>
      <c r="S28" s="95">
        <f t="shared" si="23"/>
        <v>0</v>
      </c>
      <c r="T28" s="97">
        <f t="shared" si="8"/>
        <v>0</v>
      </c>
      <c r="U28" s="74"/>
      <c r="V28" s="74"/>
      <c r="W28" s="74"/>
      <c r="X28" s="74"/>
      <c r="Y28" s="74"/>
    </row>
    <row r="29" ht="14.25" customHeight="1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98">
        <f>SUM(T22:T28)</f>
        <v>394</v>
      </c>
      <c r="U29" s="74"/>
      <c r="V29" s="74"/>
      <c r="W29" s="74"/>
      <c r="X29" s="74"/>
      <c r="Y29" s="74"/>
    </row>
    <row r="30" ht="14.25" customHeight="1">
      <c r="A30" s="74"/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</row>
    <row r="31" ht="14.25" customHeight="1">
      <c r="A31" s="79" t="s">
        <v>62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70"/>
      <c r="U31" s="74"/>
      <c r="V31" s="74"/>
      <c r="W31" s="74"/>
      <c r="X31" s="74"/>
      <c r="Y31" s="74"/>
    </row>
    <row r="32" ht="14.25" customHeight="1">
      <c r="A32" s="80"/>
      <c r="B32" s="81" t="s">
        <v>2</v>
      </c>
      <c r="C32" s="54"/>
      <c r="D32" s="54"/>
      <c r="E32" s="54"/>
      <c r="F32" s="54"/>
      <c r="G32" s="54"/>
      <c r="H32" s="54"/>
      <c r="I32" s="54"/>
      <c r="J32" s="70"/>
      <c r="K32" s="99" t="s">
        <v>63</v>
      </c>
      <c r="L32" s="54"/>
      <c r="M32" s="54"/>
      <c r="N32" s="54"/>
      <c r="O32" s="54"/>
      <c r="P32" s="54"/>
      <c r="Q32" s="54"/>
      <c r="R32" s="54"/>
      <c r="S32" s="54"/>
      <c r="T32" s="70"/>
      <c r="U32" s="74"/>
      <c r="V32" s="74"/>
      <c r="W32" s="74"/>
      <c r="X32" s="74"/>
      <c r="Y32" s="74"/>
    </row>
    <row r="33" ht="14.25" customHeight="1">
      <c r="A33" s="80"/>
      <c r="B33" s="89" t="s">
        <v>5</v>
      </c>
      <c r="C33" s="89" t="s">
        <v>49</v>
      </c>
      <c r="D33" s="89" t="s">
        <v>50</v>
      </c>
      <c r="E33" s="89" t="s">
        <v>51</v>
      </c>
      <c r="F33" s="89" t="s">
        <v>52</v>
      </c>
      <c r="G33" s="89" t="s">
        <v>10</v>
      </c>
      <c r="H33" s="89" t="s">
        <v>11</v>
      </c>
      <c r="I33" s="89" t="s">
        <v>12</v>
      </c>
      <c r="J33" s="89" t="s">
        <v>13</v>
      </c>
      <c r="K33" s="84" t="s">
        <v>5</v>
      </c>
      <c r="L33" s="84" t="s">
        <v>49</v>
      </c>
      <c r="M33" s="84" t="s">
        <v>50</v>
      </c>
      <c r="N33" s="84" t="s">
        <v>51</v>
      </c>
      <c r="O33" s="84" t="s">
        <v>52</v>
      </c>
      <c r="P33" s="84" t="s">
        <v>10</v>
      </c>
      <c r="Q33" s="84" t="s">
        <v>11</v>
      </c>
      <c r="R33" s="84" t="s">
        <v>12</v>
      </c>
      <c r="S33" s="84" t="s">
        <v>13</v>
      </c>
      <c r="T33" s="85" t="s">
        <v>53</v>
      </c>
      <c r="U33" s="74"/>
      <c r="V33" s="74"/>
      <c r="W33" s="74"/>
      <c r="X33" s="74"/>
      <c r="Y33" s="74"/>
    </row>
    <row r="34" ht="14.25" customHeight="1">
      <c r="A34" s="80" t="s">
        <v>54</v>
      </c>
      <c r="B34" s="86">
        <f>0+2+2+1</f>
        <v>5</v>
      </c>
      <c r="C34" s="86">
        <f>0+2+2-1+1+1+2</f>
        <v>7</v>
      </c>
      <c r="D34" s="86">
        <f>0+2+3+1-1-1+1+1</f>
        <v>6</v>
      </c>
      <c r="E34" s="86">
        <f>0+3+3+1-1+1-5+5</f>
        <v>7</v>
      </c>
      <c r="F34" s="86">
        <f>0+3+2+1+1-1+1</f>
        <v>7</v>
      </c>
      <c r="G34" s="86">
        <f>0+1+2+1+1-1+1</f>
        <v>5</v>
      </c>
      <c r="H34" s="86">
        <f>0+1+1-1+1+1+1-1+1</f>
        <v>4</v>
      </c>
      <c r="I34" s="86">
        <f>0+1+1</f>
        <v>2</v>
      </c>
      <c r="J34" s="86">
        <f>0+1-1+1+1</f>
        <v>2</v>
      </c>
      <c r="K34" s="86">
        <f>0+3+2+1+1-3</f>
        <v>4</v>
      </c>
      <c r="L34" s="86">
        <f>0+2-1-1+1+3+2</f>
        <v>6</v>
      </c>
      <c r="M34" s="86">
        <f>0+2-1-1+1+1+1+5+1+1-1+1+1+1-1+1-2-2-1-1+2+6-2</f>
        <v>12</v>
      </c>
      <c r="N34" s="86">
        <f>0+1-1+1+1+1+5+1+1-1+1-1+1-3-1+3+3-1+1-1+1</f>
        <v>12</v>
      </c>
      <c r="O34" s="86">
        <f>0+2-1+1-1+3+1+1+1+1+1-1-1+2-2+2</f>
        <v>9</v>
      </c>
      <c r="P34" s="86">
        <f>0+2-1+1+2-1+1+1+1+1+1-1-1+1</f>
        <v>7</v>
      </c>
      <c r="Q34" s="86">
        <f>0+1-1+1+2-1+1+1-1-1+1+1</f>
        <v>4</v>
      </c>
      <c r="R34" s="86">
        <f>0+2+1+1+1+1</f>
        <v>6</v>
      </c>
      <c r="S34" s="86">
        <f>0+1+1+4</f>
        <v>6</v>
      </c>
      <c r="T34" s="85">
        <f t="shared" ref="T34:T35" si="26">SUM(B34:S34)</f>
        <v>111</v>
      </c>
      <c r="U34" s="74"/>
      <c r="V34" s="74"/>
      <c r="W34" s="74"/>
      <c r="X34" s="74"/>
      <c r="Y34" s="74"/>
    </row>
    <row r="35" ht="14.25" customHeight="1">
      <c r="A35" s="80" t="s">
        <v>55</v>
      </c>
      <c r="B35" s="86">
        <f>0+2+2-1-1-1+1+1-1+1</f>
        <v>3</v>
      </c>
      <c r="C35" s="86">
        <f>0+1+3-1-1+1+2+2+1-1</f>
        <v>7</v>
      </c>
      <c r="D35" s="86">
        <f>0+1+3-1+1-1-1-1-1+1-1+1+1+1+1+1-1-1</f>
        <v>3</v>
      </c>
      <c r="E35" s="86">
        <f>0+3+3-1-1+1+1+1+1+1</f>
        <v>9</v>
      </c>
      <c r="F35" s="86">
        <f>0+1+2-1+1-1-1+1+1+1+1+1+1+1-2</f>
        <v>6</v>
      </c>
      <c r="G35" s="86">
        <f>0+1+2-1-1+1+1+1+1</f>
        <v>5</v>
      </c>
      <c r="H35" s="86">
        <f t="shared" ref="H35:J35" si="24">0+1+1</f>
        <v>2</v>
      </c>
      <c r="I35" s="86">
        <f t="shared" si="24"/>
        <v>2</v>
      </c>
      <c r="J35" s="86">
        <f t="shared" si="24"/>
        <v>2</v>
      </c>
      <c r="K35" s="86">
        <f>0+2+2-1-1+1+1+1+1</f>
        <v>6</v>
      </c>
      <c r="L35" s="86">
        <f>0+2+3+1-1-1+1+1-1+1+1+1-1+2</f>
        <v>9</v>
      </c>
      <c r="M35" s="86">
        <f>0+1+5-1-1+1+1+1+1-1+1</f>
        <v>8</v>
      </c>
      <c r="N35" s="87">
        <f>0+1-1+1+5-1-1+1-1+1+1+1+1+1+1</f>
        <v>10</v>
      </c>
      <c r="O35" s="86">
        <f>0+2+3-1-1+1+1+1+1</f>
        <v>7</v>
      </c>
      <c r="P35" s="86">
        <f>0+1+2-1-1+1+1-2+1+1</f>
        <v>3</v>
      </c>
      <c r="Q35" s="86">
        <f>0+2+2-1+1-1</f>
        <v>3</v>
      </c>
      <c r="R35" s="86">
        <f t="shared" ref="R35:S35" si="25">0+1+1</f>
        <v>2</v>
      </c>
      <c r="S35" s="86">
        <f t="shared" si="25"/>
        <v>2</v>
      </c>
      <c r="T35" s="85">
        <f t="shared" si="26"/>
        <v>89</v>
      </c>
      <c r="U35" s="74"/>
      <c r="V35" s="74"/>
      <c r="W35" s="74"/>
      <c r="X35" s="74"/>
      <c r="Y35" s="74"/>
    </row>
    <row r="36" ht="50.25" customHeight="1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100">
        <f>SUM(T34:T35)</f>
        <v>200</v>
      </c>
      <c r="U36" s="74"/>
      <c r="V36" s="74"/>
      <c r="W36" s="74"/>
      <c r="X36" s="74"/>
      <c r="Y36" s="74"/>
    </row>
    <row r="37" ht="14.25" customHeight="1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</row>
    <row r="38" ht="14.25" customHeight="1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</row>
    <row r="39" ht="14.25" customHeight="1">
      <c r="A39" s="79" t="s">
        <v>64</v>
      </c>
      <c r="B39" s="54"/>
      <c r="C39" s="54"/>
      <c r="D39" s="54"/>
      <c r="E39" s="54"/>
      <c r="F39" s="54"/>
      <c r="G39" s="54"/>
      <c r="H39" s="54"/>
      <c r="I39" s="54"/>
      <c r="J39" s="101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</row>
    <row r="40" ht="14.25" customHeight="1">
      <c r="A40" s="102"/>
      <c r="B40" s="81" t="s">
        <v>42</v>
      </c>
      <c r="C40" s="54"/>
      <c r="D40" s="54"/>
      <c r="E40" s="54"/>
      <c r="F40" s="54"/>
      <c r="G40" s="54"/>
      <c r="H40" s="54"/>
      <c r="I40" s="54"/>
      <c r="J40" s="70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</row>
    <row r="41" ht="14.25" customHeight="1">
      <c r="A41" s="80"/>
      <c r="B41" s="103" t="s">
        <v>5</v>
      </c>
      <c r="C41" s="103" t="s">
        <v>49</v>
      </c>
      <c r="D41" s="103" t="s">
        <v>50</v>
      </c>
      <c r="E41" s="103" t="s">
        <v>51</v>
      </c>
      <c r="F41" s="103" t="s">
        <v>52</v>
      </c>
      <c r="G41" s="103" t="s">
        <v>10</v>
      </c>
      <c r="H41" s="103" t="s">
        <v>11</v>
      </c>
      <c r="I41" s="103" t="s">
        <v>12</v>
      </c>
      <c r="J41" s="104" t="s">
        <v>13</v>
      </c>
      <c r="K41" s="105" t="s">
        <v>53</v>
      </c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</row>
    <row r="42" ht="14.25" customHeight="1">
      <c r="A42" s="80" t="s">
        <v>54</v>
      </c>
      <c r="B42" s="106">
        <f>0+3+5+1+1</f>
        <v>10</v>
      </c>
      <c r="C42" s="106">
        <f>0+4+10-1+1-1-1+1+1-7-5+10+1+6-1+1-1+1</f>
        <v>19</v>
      </c>
      <c r="D42" s="106">
        <f>0+5+10-1+1-7-4+4+1-1+1-1+11-1+1-8+6</f>
        <v>17</v>
      </c>
      <c r="E42" s="106">
        <f>0+2-1+10+1-1+1-5-7+1+3-2+2-4+6</f>
        <v>6</v>
      </c>
      <c r="F42" s="106">
        <f>0+41+1-1+1-13+13</f>
        <v>42</v>
      </c>
      <c r="G42" s="106">
        <f>0+4+4-2-3+2-2+2-1+1</f>
        <v>5</v>
      </c>
      <c r="H42" s="106">
        <f>0+3-1+5+1-1+2-1+1</f>
        <v>9</v>
      </c>
      <c r="I42" s="106">
        <f>0+1+2</f>
        <v>3</v>
      </c>
      <c r="J42" s="107">
        <f>0+2+2</f>
        <v>4</v>
      </c>
      <c r="K42" s="108">
        <f t="shared" ref="K42:K43" si="27">SUM(B42:J42)</f>
        <v>115</v>
      </c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</row>
    <row r="43" ht="14.25" customHeight="1">
      <c r="A43" s="80" t="s">
        <v>55</v>
      </c>
      <c r="B43" s="86">
        <f>0+3+5</f>
        <v>8</v>
      </c>
      <c r="C43" s="86">
        <f>0+2-1-1+10+1+1+1</f>
        <v>13</v>
      </c>
      <c r="D43" s="86">
        <f>15+1</f>
        <v>16</v>
      </c>
      <c r="E43" s="86">
        <f>0+3-1+1+1</f>
        <v>4</v>
      </c>
      <c r="F43" s="86">
        <f>0+2-1+1+8+1+1-1</f>
        <v>11</v>
      </c>
      <c r="G43" s="86">
        <f>0+3-1+1+8+1-1+1-2</f>
        <v>10</v>
      </c>
      <c r="H43" s="87">
        <f>0+3-1+1+5+1</f>
        <v>9</v>
      </c>
      <c r="I43" s="86">
        <f>0+3+2+1</f>
        <v>6</v>
      </c>
      <c r="J43" s="95">
        <f>0+1+2</f>
        <v>3</v>
      </c>
      <c r="K43" s="85">
        <f t="shared" si="27"/>
        <v>80</v>
      </c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</row>
    <row r="44" ht="14.25" customHeight="1">
      <c r="A44" s="74"/>
      <c r="B44" s="74"/>
      <c r="C44" s="74"/>
      <c r="D44" s="74"/>
      <c r="E44" s="74"/>
      <c r="F44" s="74"/>
      <c r="G44" s="74"/>
      <c r="H44" s="74"/>
      <c r="I44" s="74"/>
      <c r="J44" s="74"/>
      <c r="K44" s="109">
        <f>SUM(K42:K43)</f>
        <v>195</v>
      </c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ht="14.25" customHeight="1">
      <c r="A45" s="74"/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</row>
    <row r="46" ht="14.25" customHeight="1">
      <c r="A46" s="74"/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ht="14.2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ht="14.25" customHeight="1">
      <c r="A48" s="110" t="s">
        <v>65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74"/>
      <c r="V48" s="74"/>
      <c r="W48" s="74"/>
      <c r="X48" s="74"/>
      <c r="Y48" s="74"/>
    </row>
    <row r="49" ht="21.0" customHeight="1">
      <c r="A49" s="111" t="s">
        <v>66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2"/>
      <c r="S49" s="112"/>
      <c r="T49" s="113"/>
      <c r="U49" s="74"/>
      <c r="V49" s="74"/>
      <c r="W49" s="74"/>
      <c r="X49" s="74"/>
      <c r="Y49" s="74"/>
    </row>
    <row r="50" ht="14.25" customHeight="1">
      <c r="A50" s="80"/>
      <c r="B50" s="114" t="s">
        <v>2</v>
      </c>
      <c r="C50" s="54"/>
      <c r="D50" s="54"/>
      <c r="E50" s="54"/>
      <c r="F50" s="54"/>
      <c r="G50" s="54"/>
      <c r="H50" s="54"/>
      <c r="I50" s="54"/>
      <c r="J50" s="70"/>
      <c r="K50" s="114" t="s">
        <v>3</v>
      </c>
      <c r="L50" s="54"/>
      <c r="M50" s="54"/>
      <c r="N50" s="54"/>
      <c r="O50" s="54"/>
      <c r="P50" s="54"/>
      <c r="Q50" s="54"/>
      <c r="R50" s="54"/>
      <c r="S50" s="54"/>
      <c r="T50" s="70"/>
      <c r="U50" s="74"/>
      <c r="V50" s="74"/>
      <c r="W50" s="74"/>
      <c r="X50" s="74"/>
      <c r="Y50" s="74"/>
    </row>
    <row r="51" ht="14.25" customHeight="1">
      <c r="A51" s="82"/>
      <c r="B51" s="115" t="s">
        <v>5</v>
      </c>
      <c r="C51" s="115" t="s">
        <v>49</v>
      </c>
      <c r="D51" s="115" t="s">
        <v>50</v>
      </c>
      <c r="E51" s="115" t="s">
        <v>51</v>
      </c>
      <c r="F51" s="115" t="s">
        <v>52</v>
      </c>
      <c r="G51" s="115" t="s">
        <v>10</v>
      </c>
      <c r="H51" s="115" t="s">
        <v>11</v>
      </c>
      <c r="I51" s="115" t="s">
        <v>12</v>
      </c>
      <c r="J51" s="115" t="s">
        <v>13</v>
      </c>
      <c r="K51" s="116" t="s">
        <v>5</v>
      </c>
      <c r="L51" s="116" t="s">
        <v>49</v>
      </c>
      <c r="M51" s="116" t="s">
        <v>50</v>
      </c>
      <c r="N51" s="116" t="s">
        <v>51</v>
      </c>
      <c r="O51" s="116" t="s">
        <v>52</v>
      </c>
      <c r="P51" s="116" t="s">
        <v>10</v>
      </c>
      <c r="Q51" s="116" t="s">
        <v>11</v>
      </c>
      <c r="R51" s="116" t="s">
        <v>12</v>
      </c>
      <c r="S51" s="116" t="s">
        <v>13</v>
      </c>
      <c r="T51" s="117" t="s">
        <v>53</v>
      </c>
      <c r="U51" s="74"/>
      <c r="V51" s="74"/>
      <c r="W51" s="74"/>
      <c r="X51" s="74"/>
      <c r="Y51" s="74"/>
    </row>
    <row r="52" ht="14.25" customHeight="1">
      <c r="A52" s="80" t="s">
        <v>54</v>
      </c>
      <c r="B52" s="118">
        <f>0+1+1+1+2+1-1+1-1+1+1-1+1</f>
        <v>7</v>
      </c>
      <c r="C52" s="118">
        <f>0+2-1-1+1-1+1+3-1-1-1+1+1+1-1+2-1-1+1+1+1</f>
        <v>6</v>
      </c>
      <c r="D52" s="118">
        <f>0+1-1+1+2-1+1+1-1+1+1-1-1+1-1-1+1+2-1-1+1+1+2-1+3-1+1+1-1+1</f>
        <v>10</v>
      </c>
      <c r="E52" s="118">
        <f>0+3+1+2+1-1-2+1-1+1+1+1+3-1+1-1+1+1-1+1-4+4+1</f>
        <v>12</v>
      </c>
      <c r="F52" s="118">
        <f>0+1+1+2+1-1-1+1+1-1+1-1+1+1+1-3+3</f>
        <v>7</v>
      </c>
      <c r="G52" s="118">
        <f>0+1+2+1-1-1+1+1+1+1-1+1-2+2+1</f>
        <v>7</v>
      </c>
      <c r="H52" s="118">
        <f>6+1</f>
        <v>7</v>
      </c>
      <c r="I52" s="118">
        <f t="shared" ref="I52:J52" si="28">0+2+1-1+1+1</f>
        <v>4</v>
      </c>
      <c r="J52" s="118">
        <f t="shared" si="28"/>
        <v>4</v>
      </c>
      <c r="K52" s="118">
        <f>0+1+1+2+1-1-1-1+1+1+1+1-1+1+1</f>
        <v>7</v>
      </c>
      <c r="L52" s="118">
        <f>0+1+1+2+1-1-1-1+1+1+1+1-1+1+1-2-2+3+1</f>
        <v>7</v>
      </c>
      <c r="M52" s="118">
        <f>0+1+1+2-1+1+1-1-1+1-1+1+1+1-1-1+1+1+1-1-1+1-1-4-1+1+1+5-1+1-1+1+1-1+1+1-1-1+1+4-5+5+2-5+5</f>
        <v>14</v>
      </c>
      <c r="N52" s="118">
        <f>0+1-1+1+1-1-1+1+1+1-1+2+1+1-1-1-1+1+1-1+1+1-1-1+1-1+1+2-5+1+1-1-1+1-1-1+1+1+1+1-1+1-2+1-1+3-1+1-1+1+1-3+3-1+1</f>
        <v>7</v>
      </c>
      <c r="O52" s="118">
        <f>0+2-1-1+1-1+1+1+1+1-2+2-1+1-1-1-1+1+2-1-1+1+1+1</f>
        <v>5</v>
      </c>
      <c r="P52" s="118">
        <f>0+1+2+1-1-1+1+1-1-1-2+5-1+1-1-4+1-1+1-1+1</f>
        <v>1</v>
      </c>
      <c r="Q52" s="118">
        <f>0+1+2+1-1-1+1+1+1-1+1</f>
        <v>5</v>
      </c>
      <c r="R52" s="118">
        <f>0+1+1-1-1+1+1-1</f>
        <v>1</v>
      </c>
      <c r="S52" s="118">
        <f>0+1+1-1+1+1+1-1+1+1-1</f>
        <v>4</v>
      </c>
      <c r="T52" s="118">
        <f t="shared" ref="T52:T53" si="30">SUM(B52:S52)</f>
        <v>115</v>
      </c>
      <c r="U52" s="75" t="s">
        <v>67</v>
      </c>
      <c r="V52" s="74"/>
      <c r="W52" s="74"/>
      <c r="X52" s="74"/>
      <c r="Y52" s="74"/>
    </row>
    <row r="53" ht="14.25" customHeight="1">
      <c r="A53" s="80" t="s">
        <v>55</v>
      </c>
      <c r="B53" s="118">
        <f>0+2+1-1+1+2+1-1</f>
        <v>5</v>
      </c>
      <c r="C53" s="118">
        <f>0+1-1+1+2+1+1-1+1+1-1-1+1+2-1+1</f>
        <v>7</v>
      </c>
      <c r="D53" s="118">
        <f>0+1+2+1-1+1+1-1-1+1+5+2</f>
        <v>11</v>
      </c>
      <c r="E53" s="118">
        <f>0+1+2+1-1+1+2-1-1+1+3-2</f>
        <v>6</v>
      </c>
      <c r="F53" s="118">
        <f>0+2-1+1+2+1-1+1+1-1-2+1+1</f>
        <v>5</v>
      </c>
      <c r="G53" s="118">
        <f>0+2-1+1+2+1+1-1-1+1+1</f>
        <v>6</v>
      </c>
      <c r="H53" s="118">
        <f>0+2+2-1+1-1+1</f>
        <v>4</v>
      </c>
      <c r="I53" s="118">
        <f t="shared" ref="I53:J53" si="29">0+1+1</f>
        <v>2</v>
      </c>
      <c r="J53" s="118">
        <f t="shared" si="29"/>
        <v>2</v>
      </c>
      <c r="K53" s="118">
        <f>0+2+2</f>
        <v>4</v>
      </c>
      <c r="L53" s="118">
        <f>1+4-1+1</f>
        <v>5</v>
      </c>
      <c r="M53" s="118">
        <f>0+2+1+1+1-1+1+1+1+2-1+1-5-4</f>
        <v>0</v>
      </c>
      <c r="N53" s="118">
        <f>0+1+1+1+2+1-1+1-1+1+1+1-1+1-1+1+1-3+1+1-1+2-1+1-3-1+1-1</f>
        <v>5</v>
      </c>
      <c r="O53" s="118">
        <f>0+1+2+1+1+1-1+1-1+1-3-1+1+1</f>
        <v>4</v>
      </c>
      <c r="P53" s="119">
        <f>0+1+2+1-1-1-1+1+1-1+1</f>
        <v>3</v>
      </c>
      <c r="Q53" s="118">
        <f>0+1+1+2+1-1+1+1-1</f>
        <v>5</v>
      </c>
      <c r="R53" s="118">
        <f>0+2+1-1+1</f>
        <v>3</v>
      </c>
      <c r="S53" s="118">
        <f>0+1+1+1</f>
        <v>3</v>
      </c>
      <c r="T53" s="118">
        <f t="shared" si="30"/>
        <v>80</v>
      </c>
      <c r="U53" s="74"/>
      <c r="V53" s="74"/>
      <c r="W53" s="74"/>
      <c r="X53" s="74"/>
      <c r="Y53" s="74"/>
    </row>
    <row r="54" ht="14.25" customHeight="1">
      <c r="A54" s="120"/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1"/>
      <c r="M54" s="121"/>
      <c r="N54" s="121"/>
      <c r="O54" s="121"/>
      <c r="P54" s="121"/>
      <c r="Q54" s="121"/>
      <c r="R54" s="121"/>
      <c r="S54" s="121"/>
      <c r="T54" s="122">
        <f>SUM(T52:T53)</f>
        <v>195</v>
      </c>
      <c r="U54" s="74"/>
      <c r="V54" s="74"/>
      <c r="W54" s="74"/>
      <c r="X54" s="74"/>
      <c r="Y54" s="74"/>
    </row>
    <row r="55" ht="14.25" customHeight="1">
      <c r="A55" s="120"/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1"/>
      <c r="N55" s="121"/>
      <c r="O55" s="121"/>
      <c r="P55" s="121"/>
      <c r="Q55" s="121"/>
      <c r="R55" s="121"/>
      <c r="S55" s="121"/>
      <c r="T55" s="121"/>
      <c r="U55" s="74"/>
      <c r="V55" s="74"/>
      <c r="W55" s="74"/>
      <c r="X55" s="74"/>
      <c r="Y55" s="74"/>
    </row>
    <row r="56" ht="21.0" customHeight="1">
      <c r="A56" s="123" t="s">
        <v>68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70"/>
      <c r="U56" s="74"/>
      <c r="V56" s="74"/>
      <c r="W56" s="74"/>
      <c r="X56" s="74"/>
      <c r="Y56" s="74"/>
    </row>
    <row r="57" ht="14.25" customHeight="1">
      <c r="A57" s="80"/>
      <c r="B57" s="114" t="s">
        <v>2</v>
      </c>
      <c r="C57" s="54"/>
      <c r="D57" s="54"/>
      <c r="E57" s="54"/>
      <c r="F57" s="54"/>
      <c r="G57" s="54"/>
      <c r="H57" s="54"/>
      <c r="I57" s="54"/>
      <c r="J57" s="70"/>
      <c r="K57" s="114" t="s">
        <v>3</v>
      </c>
      <c r="L57" s="54"/>
      <c r="M57" s="54"/>
      <c r="N57" s="54"/>
      <c r="O57" s="54"/>
      <c r="P57" s="54"/>
      <c r="Q57" s="54"/>
      <c r="R57" s="54"/>
      <c r="S57" s="54"/>
      <c r="T57" s="70"/>
      <c r="U57" s="74"/>
      <c r="V57" s="74"/>
      <c r="W57" s="74"/>
      <c r="X57" s="74"/>
      <c r="Y57" s="74"/>
    </row>
    <row r="58" ht="14.25" customHeight="1">
      <c r="A58" s="80"/>
      <c r="B58" s="124" t="s">
        <v>5</v>
      </c>
      <c r="C58" s="124" t="s">
        <v>49</v>
      </c>
      <c r="D58" s="124" t="s">
        <v>50</v>
      </c>
      <c r="E58" s="124" t="s">
        <v>51</v>
      </c>
      <c r="F58" s="124" t="s">
        <v>52</v>
      </c>
      <c r="G58" s="124" t="s">
        <v>10</v>
      </c>
      <c r="H58" s="124" t="s">
        <v>11</v>
      </c>
      <c r="I58" s="124" t="s">
        <v>12</v>
      </c>
      <c r="J58" s="124" t="s">
        <v>13</v>
      </c>
      <c r="K58" s="116" t="s">
        <v>5</v>
      </c>
      <c r="L58" s="116" t="s">
        <v>49</v>
      </c>
      <c r="M58" s="116" t="s">
        <v>50</v>
      </c>
      <c r="N58" s="116" t="s">
        <v>51</v>
      </c>
      <c r="O58" s="116" t="s">
        <v>52</v>
      </c>
      <c r="P58" s="116" t="s">
        <v>10</v>
      </c>
      <c r="Q58" s="116" t="s">
        <v>11</v>
      </c>
      <c r="R58" s="116" t="s">
        <v>12</v>
      </c>
      <c r="S58" s="116" t="s">
        <v>13</v>
      </c>
      <c r="T58" s="117" t="s">
        <v>53</v>
      </c>
      <c r="U58" s="74"/>
      <c r="V58" s="74"/>
      <c r="W58" s="74"/>
      <c r="X58" s="74"/>
      <c r="Y58" s="74"/>
    </row>
    <row r="59" ht="14.25" customHeight="1">
      <c r="A59" s="80" t="s">
        <v>54</v>
      </c>
      <c r="B59" s="118">
        <f>0+9-9+1+1</f>
        <v>2</v>
      </c>
      <c r="C59" s="118">
        <f>13+2-1+2+1-17+2+1+1-1-1-1+1+1</f>
        <v>3</v>
      </c>
      <c r="D59" s="119">
        <f>14+17-31+3+1-1+1+1-1+1</f>
        <v>5</v>
      </c>
      <c r="E59" s="118">
        <f>10+1+1-12+1</f>
        <v>1</v>
      </c>
      <c r="F59" s="118">
        <f>16+1-1+1-17+2-1+1-1+1</f>
        <v>2</v>
      </c>
      <c r="G59" s="118">
        <f>10+1+1-12+1+1</f>
        <v>2</v>
      </c>
      <c r="H59" s="118">
        <f>13+1-14+1</f>
        <v>1</v>
      </c>
      <c r="I59" s="118">
        <f>4-4+1</f>
        <v>1</v>
      </c>
      <c r="J59" s="118">
        <f>0+1+1-1-1+1+1-1+1+1</f>
        <v>3</v>
      </c>
      <c r="K59" s="118">
        <f>5+5+9+1+1-21+2+1-1+1</f>
        <v>3</v>
      </c>
      <c r="L59" s="118">
        <f>22+22+20+6+1+1-1+1-72+5-1+1+1-1+1+1-1+1+3</f>
        <v>10</v>
      </c>
      <c r="M59" s="118">
        <f>22+22+2+14+1+1-62+1-1+1-1+4</f>
        <v>4</v>
      </c>
      <c r="N59" s="118">
        <f>22+22+5+20-3-1+1+1-1+3+1+1-71-2+5-1+2+1+1-1-1-1+1+1-1+1+3</f>
        <v>8</v>
      </c>
      <c r="O59" s="118">
        <f>20+11+6-1+2+1-1-1+1+1-39-2+3+2+1-1+1+2-1+1</f>
        <v>6</v>
      </c>
      <c r="P59" s="118">
        <f>16+14-1-29-2+2+2-1+1+1-1+1</f>
        <v>3</v>
      </c>
      <c r="Q59" s="118">
        <f>20+10+1+2-18-1+2+2</f>
        <v>18</v>
      </c>
      <c r="R59" s="118">
        <f>7-1+1-7+1+1-1</f>
        <v>1</v>
      </c>
      <c r="S59" s="118">
        <f>8-1+1-7+1+1+1</f>
        <v>4</v>
      </c>
      <c r="T59" s="118">
        <f t="shared" ref="T59:T61" si="32">SUM(B59:S59)</f>
        <v>77</v>
      </c>
      <c r="U59" s="74"/>
      <c r="V59" s="74"/>
      <c r="W59" s="74"/>
      <c r="X59" s="74"/>
      <c r="Y59" s="74"/>
    </row>
    <row r="60" ht="14.25" customHeight="1">
      <c r="A60" s="80" t="s">
        <v>55</v>
      </c>
      <c r="B60" s="118">
        <f>5+2</f>
        <v>7</v>
      </c>
      <c r="C60" s="118">
        <f>14+4-7+7</f>
        <v>18</v>
      </c>
      <c r="D60" s="118">
        <f>16+2-2+3-3</f>
        <v>16</v>
      </c>
      <c r="E60" s="119">
        <f>20+1-1+1</f>
        <v>21</v>
      </c>
      <c r="F60" s="118">
        <f>10+2</f>
        <v>12</v>
      </c>
      <c r="G60" s="118">
        <f>7+2</f>
        <v>9</v>
      </c>
      <c r="H60" s="118">
        <f>0+2-1+1-1+1-1+1</f>
        <v>2</v>
      </c>
      <c r="I60" s="118">
        <f t="shared" ref="I60:J60" si="31">0+1+2</f>
        <v>3</v>
      </c>
      <c r="J60" s="118">
        <f t="shared" si="31"/>
        <v>3</v>
      </c>
      <c r="K60" s="118">
        <f>0+5-1+1-1-1-1+1+1+1+1+1+1+1-1+1+1</f>
        <v>10</v>
      </c>
      <c r="L60" s="118">
        <f>13+3+5-1-1+1+1-1+1</f>
        <v>21</v>
      </c>
      <c r="M60" s="118">
        <f>17+13+3+1-1+1+1-1+1-1-7+7</f>
        <v>34</v>
      </c>
      <c r="N60" s="118">
        <f>13+12+6+1+9-1+1+1-3+1+3-1+1-5+5</f>
        <v>43</v>
      </c>
      <c r="O60" s="118">
        <f>11+7+1+10-1+1-1+1-1+1</f>
        <v>29</v>
      </c>
      <c r="P60" s="118">
        <f>11+1+2-1+1-1+1+1</f>
        <v>15</v>
      </c>
      <c r="Q60" s="118">
        <f>14+1-1+1+1</f>
        <v>16</v>
      </c>
      <c r="R60" s="118">
        <f>0+3-1+1-1+1-1-1+1+1</f>
        <v>3</v>
      </c>
      <c r="S60" s="118">
        <f>4</f>
        <v>4</v>
      </c>
      <c r="T60" s="118">
        <f t="shared" si="32"/>
        <v>266</v>
      </c>
      <c r="U60" s="74"/>
      <c r="V60" s="74"/>
      <c r="W60" s="74"/>
      <c r="X60" s="74"/>
      <c r="Y60" s="74"/>
    </row>
    <row r="61" ht="14.25" customHeight="1">
      <c r="A61" s="80" t="s">
        <v>57</v>
      </c>
      <c r="B61" s="118">
        <f>0+1-1+1+1-1+1+1-1-2</f>
        <v>0</v>
      </c>
      <c r="C61" s="118">
        <f>0+2-1-1+1-1</f>
        <v>0</v>
      </c>
      <c r="D61" s="118">
        <f>0+1-1+1+2+1+1-1-1</f>
        <v>3</v>
      </c>
      <c r="E61" s="118">
        <f>0+1-1</f>
        <v>0</v>
      </c>
      <c r="F61" s="118">
        <f>0+2+2+1-1</f>
        <v>4</v>
      </c>
      <c r="G61" s="118">
        <f>0+2-1+2+1+1</f>
        <v>5</v>
      </c>
      <c r="H61" s="118">
        <f>0+1</f>
        <v>1</v>
      </c>
      <c r="I61" s="118">
        <f t="shared" ref="I61:J61" si="33">0+1+1</f>
        <v>2</v>
      </c>
      <c r="J61" s="118">
        <f t="shared" si="33"/>
        <v>2</v>
      </c>
      <c r="K61" s="118">
        <f>0+1+2+1+1-1-1+1</f>
        <v>4</v>
      </c>
      <c r="L61" s="118">
        <f>0+1+2+1-1+1-1+1+1-1</f>
        <v>4</v>
      </c>
      <c r="M61" s="118">
        <f>0+2-1+1+1-1+1-1+1+1-1+2+1-1-1</f>
        <v>4</v>
      </c>
      <c r="N61" s="118">
        <f>0+1-1+1+2-1-1-1+1-1</f>
        <v>0</v>
      </c>
      <c r="O61" s="118">
        <f>0+2-1-1+1+1-2+1</f>
        <v>1</v>
      </c>
      <c r="P61" s="118">
        <f>0+1+2-1+1-2+3</f>
        <v>4</v>
      </c>
      <c r="Q61" s="118">
        <f>0+2</f>
        <v>2</v>
      </c>
      <c r="R61" s="119">
        <f t="shared" ref="R61:S61" si="34">0+1+1-1</f>
        <v>1</v>
      </c>
      <c r="S61" s="118">
        <f t="shared" si="34"/>
        <v>1</v>
      </c>
      <c r="T61" s="118">
        <f t="shared" si="32"/>
        <v>38</v>
      </c>
      <c r="U61" s="74"/>
      <c r="V61" s="74"/>
      <c r="W61" s="74"/>
      <c r="X61" s="74"/>
      <c r="Y61" s="74"/>
    </row>
    <row r="62" ht="14.25" customHeight="1"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1"/>
      <c r="M62" s="121"/>
      <c r="N62" s="121"/>
      <c r="O62" s="121"/>
      <c r="P62" s="121"/>
      <c r="Q62" s="121"/>
      <c r="R62" s="121"/>
      <c r="S62" s="121"/>
      <c r="T62" s="125">
        <f>SUM(T59:T61)</f>
        <v>381</v>
      </c>
      <c r="U62" s="74"/>
      <c r="V62" s="74"/>
      <c r="W62" s="74"/>
      <c r="X62" s="74"/>
      <c r="Y62" s="74"/>
    </row>
    <row r="63" ht="14.25" customHeight="1"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1"/>
      <c r="M63" s="121"/>
      <c r="N63" s="121"/>
      <c r="O63" s="121"/>
      <c r="P63" s="121"/>
      <c r="Q63" s="121"/>
      <c r="R63" s="121"/>
      <c r="S63" s="121"/>
      <c r="T63" s="126"/>
      <c r="U63" s="74"/>
      <c r="V63" s="74"/>
      <c r="W63" s="74"/>
      <c r="X63" s="74"/>
      <c r="Y63" s="74"/>
    </row>
    <row r="64" ht="21.0" customHeight="1">
      <c r="A64" s="123" t="s">
        <v>69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70"/>
      <c r="U64" s="74"/>
      <c r="V64" s="74"/>
      <c r="W64" s="74"/>
      <c r="X64" s="74"/>
      <c r="Y64" s="74"/>
    </row>
    <row r="65" ht="14.25" customHeight="1">
      <c r="A65" s="80"/>
      <c r="B65" s="114" t="s">
        <v>2</v>
      </c>
      <c r="C65" s="54"/>
      <c r="D65" s="54"/>
      <c r="E65" s="54"/>
      <c r="F65" s="54"/>
      <c r="G65" s="54"/>
      <c r="H65" s="54"/>
      <c r="I65" s="54"/>
      <c r="J65" s="70"/>
      <c r="K65" s="114" t="s">
        <v>3</v>
      </c>
      <c r="L65" s="54"/>
      <c r="M65" s="54"/>
      <c r="N65" s="54"/>
      <c r="O65" s="54"/>
      <c r="P65" s="54"/>
      <c r="Q65" s="54"/>
      <c r="R65" s="54"/>
      <c r="S65" s="54"/>
      <c r="T65" s="70"/>
      <c r="U65" s="74"/>
      <c r="V65" s="74"/>
      <c r="W65" s="74"/>
      <c r="X65" s="74"/>
      <c r="Y65" s="74"/>
    </row>
    <row r="66" ht="14.25" customHeight="1">
      <c r="A66" s="80"/>
      <c r="B66" s="124" t="s">
        <v>5</v>
      </c>
      <c r="C66" s="124" t="s">
        <v>49</v>
      </c>
      <c r="D66" s="124" t="s">
        <v>50</v>
      </c>
      <c r="E66" s="89" t="s">
        <v>51</v>
      </c>
      <c r="F66" s="124" t="s">
        <v>52</v>
      </c>
      <c r="G66" s="124" t="s">
        <v>10</v>
      </c>
      <c r="H66" s="124" t="s">
        <v>11</v>
      </c>
      <c r="I66" s="124" t="s">
        <v>12</v>
      </c>
      <c r="J66" s="124" t="s">
        <v>13</v>
      </c>
      <c r="K66" s="116" t="s">
        <v>5</v>
      </c>
      <c r="L66" s="116" t="s">
        <v>49</v>
      </c>
      <c r="M66" s="116" t="s">
        <v>50</v>
      </c>
      <c r="N66" s="116" t="s">
        <v>51</v>
      </c>
      <c r="O66" s="116" t="s">
        <v>52</v>
      </c>
      <c r="P66" s="116" t="s">
        <v>10</v>
      </c>
      <c r="Q66" s="116" t="s">
        <v>11</v>
      </c>
      <c r="R66" s="116" t="s">
        <v>12</v>
      </c>
      <c r="S66" s="116" t="s">
        <v>13</v>
      </c>
      <c r="T66" s="117" t="s">
        <v>53</v>
      </c>
      <c r="U66" s="74"/>
      <c r="V66" s="74"/>
      <c r="W66" s="74"/>
      <c r="X66" s="74"/>
      <c r="Y66" s="74"/>
    </row>
    <row r="67" ht="14.25" customHeight="1">
      <c r="A67" s="80" t="s">
        <v>54</v>
      </c>
      <c r="B67" s="118">
        <f>0+2+1</f>
        <v>3</v>
      </c>
      <c r="C67" s="118">
        <f>0+1-1</f>
        <v>0</v>
      </c>
      <c r="D67" s="118">
        <f>3-1</f>
        <v>2</v>
      </c>
      <c r="E67" s="118">
        <f>0+1+1+1-1-1-1+1+1+1-1-1+1-1-1+1+2-1+1</f>
        <v>3</v>
      </c>
      <c r="F67" s="118">
        <f>0+1-1+1-1+1-1+1-1+1</f>
        <v>1</v>
      </c>
      <c r="G67" s="118">
        <f>0+2+1-1-1-1+3</f>
        <v>3</v>
      </c>
      <c r="H67" s="118">
        <f>0+1+1-1-1+1+1-1+2-1</f>
        <v>2</v>
      </c>
      <c r="I67" s="118">
        <f>0+1+1</f>
        <v>2</v>
      </c>
      <c r="J67" s="118">
        <f>0+2</f>
        <v>2</v>
      </c>
      <c r="K67" s="118">
        <f>1+3</f>
        <v>4</v>
      </c>
      <c r="L67" s="118">
        <f>0+3+1-1-1+2+1-1-1+1+1+1-1-1+1+10-1-4+1+1+1+2-1-1+1</f>
        <v>14</v>
      </c>
      <c r="M67" s="118">
        <f>5+1-2+1+2-4+4-1+1+1-1+1</f>
        <v>8</v>
      </c>
      <c r="N67" s="118">
        <f>8-1-4+2+4-1+1-1+1-1-1+1</f>
        <v>8</v>
      </c>
      <c r="O67" s="118">
        <f>4+4-1</f>
        <v>7</v>
      </c>
      <c r="P67" s="118">
        <f>0+1+1+1+1-1+1-1+1+1-1+1-5+1+3+1+1-1-1+1+1+1</f>
        <v>7</v>
      </c>
      <c r="Q67" s="118">
        <f>0+1+1-1+1+1+1-1-1+1-2+2-1+1+3+1-1+1-1+2-2+2+1</f>
        <v>9</v>
      </c>
      <c r="R67" s="118">
        <f>0+1+1-1+1-1+1-1-1+1</f>
        <v>1</v>
      </c>
      <c r="S67" s="118">
        <f>0+1+1-1+1-1+1</f>
        <v>2</v>
      </c>
      <c r="T67" s="118">
        <f t="shared" ref="T67:T70" si="36">SUM(B67:S67)</f>
        <v>78</v>
      </c>
      <c r="U67" s="74"/>
      <c r="V67" s="74"/>
      <c r="W67" s="74"/>
      <c r="X67" s="74"/>
      <c r="Y67" s="74"/>
    </row>
    <row r="68" ht="14.25" customHeight="1">
      <c r="A68" s="80" t="s">
        <v>55</v>
      </c>
      <c r="B68" s="118">
        <f>0+1+1-1+1+1-1</f>
        <v>2</v>
      </c>
      <c r="C68" s="118">
        <f>0+4+1+1+1+1+1-1-1+1+1-1+1+2-1-1+1</f>
        <v>10</v>
      </c>
      <c r="D68" s="118">
        <f>0+1+1+1+1+1-1-1-1-1+1+1+1+2-1</f>
        <v>5</v>
      </c>
      <c r="E68" s="118">
        <f>0+3+1+1+1+1-1+1+1-1-1+1+1+1+2-1+2-2+2-1</f>
        <v>11</v>
      </c>
      <c r="F68" s="118">
        <f>0+4+1+1-1+1+1+1+1-1-1+1+1-1-1+1-1+1</f>
        <v>8</v>
      </c>
      <c r="G68" s="118">
        <f>0+1+1+1+1-1-1+1+1-1+1-3-1+1</f>
        <v>1</v>
      </c>
      <c r="H68" s="118">
        <f>0+1+1+1+1-1-1+1+1+1</f>
        <v>5</v>
      </c>
      <c r="I68" s="118">
        <f>0+3+1-1</f>
        <v>3</v>
      </c>
      <c r="J68" s="118">
        <f>0+2+1</f>
        <v>3</v>
      </c>
      <c r="K68" s="118">
        <f>0+4-1+1+2-1+2+1+2-1</f>
        <v>9</v>
      </c>
      <c r="L68" s="118">
        <f>0+4-1-1+1+1+1+1-1-4+4-1-1+5-1+1+1+3-1+3-1</f>
        <v>13</v>
      </c>
      <c r="M68" s="118">
        <f>0+1+1-1-1+1+1+1+1+1-2+2-1-1+1+1+1-1-1-2-2+1+1+5+4-1-1+1-2-2+1+1-1+3-1-1</f>
        <v>8</v>
      </c>
      <c r="N68" s="118">
        <f>0+1-1+1-1+1-1+1+1+1+1-1+1+1-2-2-1+1</f>
        <v>1</v>
      </c>
      <c r="O68" s="118">
        <f>0+2-1-1+1+1-1-1+1+3-2+2+1-1-1+1-4</f>
        <v>0</v>
      </c>
      <c r="P68" s="118">
        <f>0+2-1-1+2+1+1-1-1-1-1+1+1+1-2+3-2-1+1-1</f>
        <v>1</v>
      </c>
      <c r="Q68" s="118">
        <f>0+3-1-1+1-1+1+1+1-1+2+2-3-1+1+3</f>
        <v>7</v>
      </c>
      <c r="R68" s="118">
        <f t="shared" ref="R68:S68" si="35">0+2-1+1+1+1</f>
        <v>4</v>
      </c>
      <c r="S68" s="118">
        <f t="shared" si="35"/>
        <v>4</v>
      </c>
      <c r="T68" s="118">
        <f t="shared" si="36"/>
        <v>95</v>
      </c>
      <c r="U68" s="74"/>
      <c r="V68" s="74"/>
      <c r="W68" s="74"/>
      <c r="X68" s="74"/>
      <c r="Y68" s="74"/>
    </row>
    <row r="69" ht="14.25" customHeight="1">
      <c r="A69" s="80" t="s">
        <v>57</v>
      </c>
      <c r="B69" s="118">
        <f t="shared" ref="B69:B70" si="40">0+1</f>
        <v>1</v>
      </c>
      <c r="C69" s="118">
        <f t="shared" ref="C69:C70" si="41">0</f>
        <v>0</v>
      </c>
      <c r="D69" s="118">
        <f>0+1</f>
        <v>1</v>
      </c>
      <c r="E69" s="118">
        <f t="shared" ref="E69:H69" si="37">0</f>
        <v>0</v>
      </c>
      <c r="F69" s="118">
        <f t="shared" si="37"/>
        <v>0</v>
      </c>
      <c r="G69" s="118">
        <f t="shared" si="37"/>
        <v>0</v>
      </c>
      <c r="H69" s="118">
        <f t="shared" si="37"/>
        <v>0</v>
      </c>
      <c r="I69" s="118">
        <f>0+2</f>
        <v>2</v>
      </c>
      <c r="J69" s="118">
        <f t="shared" ref="J69:M69" si="38">0</f>
        <v>0</v>
      </c>
      <c r="K69" s="118">
        <f t="shared" si="38"/>
        <v>0</v>
      </c>
      <c r="L69" s="118">
        <f t="shared" si="38"/>
        <v>0</v>
      </c>
      <c r="M69" s="118">
        <f t="shared" si="38"/>
        <v>0</v>
      </c>
      <c r="N69" s="118">
        <f>0+1-1+1-1+1-1</f>
        <v>0</v>
      </c>
      <c r="O69" s="118">
        <f>0</f>
        <v>0</v>
      </c>
      <c r="P69" s="118">
        <f>0+1-1</f>
        <v>0</v>
      </c>
      <c r="Q69" s="118">
        <f>0+1</f>
        <v>1</v>
      </c>
      <c r="R69" s="118">
        <f t="shared" ref="R69:S69" si="39">0</f>
        <v>0</v>
      </c>
      <c r="S69" s="118">
        <f t="shared" si="39"/>
        <v>0</v>
      </c>
      <c r="T69" s="118">
        <f t="shared" si="36"/>
        <v>5</v>
      </c>
      <c r="U69" s="74"/>
      <c r="V69" s="74"/>
      <c r="W69" s="74"/>
      <c r="X69" s="74"/>
      <c r="Y69" s="74"/>
    </row>
    <row r="70" ht="14.25" customHeight="1">
      <c r="A70" s="80" t="s">
        <v>59</v>
      </c>
      <c r="B70" s="118">
        <f t="shared" si="40"/>
        <v>1</v>
      </c>
      <c r="C70" s="118">
        <f t="shared" si="41"/>
        <v>0</v>
      </c>
      <c r="D70" s="118">
        <f t="shared" ref="D70:H70" si="42">0</f>
        <v>0</v>
      </c>
      <c r="E70" s="118">
        <f t="shared" si="42"/>
        <v>0</v>
      </c>
      <c r="F70" s="118">
        <f t="shared" si="42"/>
        <v>0</v>
      </c>
      <c r="G70" s="118">
        <f t="shared" si="42"/>
        <v>0</v>
      </c>
      <c r="H70" s="118">
        <f t="shared" si="42"/>
        <v>0</v>
      </c>
      <c r="I70" s="118">
        <f t="shared" ref="I70:K70" si="43">0+1</f>
        <v>1</v>
      </c>
      <c r="J70" s="118">
        <f t="shared" si="43"/>
        <v>1</v>
      </c>
      <c r="K70" s="118">
        <f t="shared" si="43"/>
        <v>1</v>
      </c>
      <c r="L70" s="118">
        <f>0</f>
        <v>0</v>
      </c>
      <c r="M70" s="118">
        <f>0+1-1+1</f>
        <v>1</v>
      </c>
      <c r="N70" s="118">
        <f t="shared" ref="N70:S70" si="44">0</f>
        <v>0</v>
      </c>
      <c r="O70" s="118">
        <f t="shared" si="44"/>
        <v>0</v>
      </c>
      <c r="P70" s="118">
        <f t="shared" si="44"/>
        <v>0</v>
      </c>
      <c r="Q70" s="118">
        <f t="shared" si="44"/>
        <v>0</v>
      </c>
      <c r="R70" s="118">
        <f t="shared" si="44"/>
        <v>0</v>
      </c>
      <c r="S70" s="118">
        <f t="shared" si="44"/>
        <v>0</v>
      </c>
      <c r="T70" s="118">
        <f t="shared" si="36"/>
        <v>5</v>
      </c>
      <c r="U70" s="74"/>
      <c r="V70" s="74"/>
      <c r="W70" s="74"/>
      <c r="X70" s="74"/>
      <c r="Y70" s="74"/>
    </row>
    <row r="71" ht="14.25" customHeight="1">
      <c r="A71" s="8"/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8">
        <f>SUM(T67:T70)</f>
        <v>183</v>
      </c>
      <c r="U71" s="74"/>
      <c r="V71" s="74"/>
      <c r="W71" s="74"/>
      <c r="X71" s="74"/>
      <c r="Y71" s="74"/>
    </row>
    <row r="72" ht="14.25" customHeight="1">
      <c r="A72" s="120"/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1"/>
      <c r="N72" s="121"/>
      <c r="O72" s="121"/>
      <c r="P72" s="121"/>
      <c r="Q72" s="121"/>
      <c r="R72" s="121"/>
      <c r="S72" s="121"/>
      <c r="T72" s="121"/>
      <c r="U72" s="74"/>
      <c r="V72" s="74"/>
      <c r="W72" s="74"/>
      <c r="X72" s="74"/>
      <c r="Y72" s="74"/>
    </row>
    <row r="73" ht="21.0" customHeight="1">
      <c r="A73" s="123" t="s">
        <v>70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70"/>
      <c r="U73" s="74"/>
      <c r="V73" s="74"/>
      <c r="W73" s="74"/>
      <c r="X73" s="74"/>
      <c r="Y73" s="74"/>
    </row>
    <row r="74" ht="14.25" customHeight="1">
      <c r="A74" s="80"/>
      <c r="B74" s="114" t="s">
        <v>2</v>
      </c>
      <c r="C74" s="54"/>
      <c r="D74" s="54"/>
      <c r="E74" s="54"/>
      <c r="F74" s="54"/>
      <c r="G74" s="54"/>
      <c r="H74" s="54"/>
      <c r="I74" s="54"/>
      <c r="J74" s="70"/>
      <c r="K74" s="114" t="s">
        <v>63</v>
      </c>
      <c r="L74" s="54"/>
      <c r="M74" s="54"/>
      <c r="N74" s="54"/>
      <c r="O74" s="54"/>
      <c r="P74" s="54"/>
      <c r="Q74" s="54"/>
      <c r="R74" s="54"/>
      <c r="S74" s="54"/>
      <c r="T74" s="70"/>
      <c r="U74" s="74"/>
      <c r="V74" s="74"/>
      <c r="W74" s="74"/>
      <c r="X74" s="74"/>
      <c r="Y74" s="74"/>
    </row>
    <row r="75" ht="14.25" customHeight="1">
      <c r="A75" s="80"/>
      <c r="B75" s="124" t="s">
        <v>5</v>
      </c>
      <c r="C75" s="124" t="s">
        <v>49</v>
      </c>
      <c r="D75" s="124" t="s">
        <v>50</v>
      </c>
      <c r="E75" s="124" t="s">
        <v>51</v>
      </c>
      <c r="F75" s="124" t="s">
        <v>52</v>
      </c>
      <c r="G75" s="124" t="s">
        <v>10</v>
      </c>
      <c r="H75" s="124" t="s">
        <v>11</v>
      </c>
      <c r="I75" s="124" t="s">
        <v>12</v>
      </c>
      <c r="J75" s="124" t="s">
        <v>13</v>
      </c>
      <c r="K75" s="116" t="s">
        <v>5</v>
      </c>
      <c r="L75" s="116" t="s">
        <v>49</v>
      </c>
      <c r="M75" s="116" t="s">
        <v>50</v>
      </c>
      <c r="N75" s="116" t="s">
        <v>51</v>
      </c>
      <c r="O75" s="116" t="s">
        <v>52</v>
      </c>
      <c r="P75" s="116" t="s">
        <v>10</v>
      </c>
      <c r="Q75" s="116" t="s">
        <v>11</v>
      </c>
      <c r="R75" s="116" t="s">
        <v>12</v>
      </c>
      <c r="S75" s="116" t="s">
        <v>13</v>
      </c>
      <c r="T75" s="117" t="s">
        <v>53</v>
      </c>
      <c r="U75" s="74"/>
      <c r="V75" s="74"/>
      <c r="W75" s="74"/>
      <c r="X75" s="74"/>
      <c r="Y75" s="74"/>
    </row>
    <row r="76" ht="14.25" customHeight="1">
      <c r="A76" s="80" t="s">
        <v>54</v>
      </c>
      <c r="B76" s="118">
        <f>0</f>
        <v>0</v>
      </c>
      <c r="C76" s="118">
        <f>0+1-1+1</f>
        <v>1</v>
      </c>
      <c r="D76" s="118">
        <f>0+4-1+1</f>
        <v>4</v>
      </c>
      <c r="E76" s="118">
        <f>0+2+1-1-1+1+1</f>
        <v>3</v>
      </c>
      <c r="F76" s="118">
        <f>0+1+1-1+1-1</f>
        <v>1</v>
      </c>
      <c r="G76" s="118">
        <f t="shared" ref="G76:H76" si="45">0+2-1+1</f>
        <v>2</v>
      </c>
      <c r="H76" s="118">
        <f t="shared" si="45"/>
        <v>2</v>
      </c>
      <c r="I76" s="118">
        <f>0+1</f>
        <v>1</v>
      </c>
      <c r="J76" s="118">
        <f>0+1+1+1+1-2</f>
        <v>2</v>
      </c>
      <c r="K76" s="118">
        <f>0+2+2</f>
        <v>4</v>
      </c>
      <c r="L76" s="118">
        <f>0+3-1+1+3-2</f>
        <v>4</v>
      </c>
      <c r="M76" s="118">
        <f>0+1+1-1+1+3-3+3-5</f>
        <v>0</v>
      </c>
      <c r="N76" s="118">
        <f>0+2+1-1+1-1+1-1+1+1+2-1+1-3+3+1+1+1-1+1</f>
        <v>9</v>
      </c>
      <c r="O76" s="118">
        <f>0+3-1-1+1+1+3-1+1+1-2-1+1</f>
        <v>5</v>
      </c>
      <c r="P76" s="118">
        <f>0+2-1-1+1+1+3</f>
        <v>5</v>
      </c>
      <c r="Q76" s="118">
        <f>0+2-1+1+3-1-1</f>
        <v>3</v>
      </c>
      <c r="R76" s="118">
        <f>0+2+1</f>
        <v>3</v>
      </c>
      <c r="S76" s="118">
        <f>0+2-1+1+1</f>
        <v>3</v>
      </c>
      <c r="T76" s="118">
        <f t="shared" ref="T76:T77" si="47">SUM(B76:S76)</f>
        <v>52</v>
      </c>
      <c r="U76" s="74"/>
      <c r="V76" s="74"/>
      <c r="W76" s="74"/>
      <c r="X76" s="74"/>
      <c r="Y76" s="74"/>
    </row>
    <row r="77" ht="14.25" customHeight="1">
      <c r="A77" s="80" t="s">
        <v>55</v>
      </c>
      <c r="B77" s="118">
        <f>0+1+2+1</f>
        <v>4</v>
      </c>
      <c r="C77" s="118">
        <f>0+1+2-1-1-1+2+1</f>
        <v>3</v>
      </c>
      <c r="D77" s="118">
        <f>0+2+2+1-1-1-3+1-1</f>
        <v>0</v>
      </c>
      <c r="E77" s="118">
        <f>0+1+2-1-1-1+1</f>
        <v>1</v>
      </c>
      <c r="F77" s="118">
        <f>0+1+2-1-1+2</f>
        <v>3</v>
      </c>
      <c r="G77" s="118">
        <f>0+1+2-1-2+2+1</f>
        <v>3</v>
      </c>
      <c r="H77" s="118">
        <f>0+1+2-1+1</f>
        <v>3</v>
      </c>
      <c r="I77" s="118">
        <f>0+1+1+2+3</f>
        <v>7</v>
      </c>
      <c r="J77" s="118">
        <f>0+1+1+2</f>
        <v>4</v>
      </c>
      <c r="K77" s="118">
        <f>0+1</f>
        <v>1</v>
      </c>
      <c r="L77" s="118">
        <f>0+1-1+1</f>
        <v>1</v>
      </c>
      <c r="M77" s="118">
        <f>0+1-1+1+1-1+1-1-1+1-1+1-1</f>
        <v>0</v>
      </c>
      <c r="N77" s="118">
        <f>0+1+1-1-1+1-1+1-1+1</f>
        <v>1</v>
      </c>
      <c r="O77" s="118">
        <f>2-1+1-1+1</f>
        <v>2</v>
      </c>
      <c r="P77" s="118">
        <f t="shared" ref="P77:S77" si="46">0+1-1</f>
        <v>0</v>
      </c>
      <c r="Q77" s="118">
        <f t="shared" si="46"/>
        <v>0</v>
      </c>
      <c r="R77" s="118">
        <f t="shared" si="46"/>
        <v>0</v>
      </c>
      <c r="S77" s="118">
        <f t="shared" si="46"/>
        <v>0</v>
      </c>
      <c r="T77" s="118">
        <f t="shared" si="47"/>
        <v>33</v>
      </c>
      <c r="U77" s="74"/>
      <c r="V77" s="74"/>
      <c r="W77" s="74"/>
      <c r="X77" s="74"/>
      <c r="Y77" s="74"/>
    </row>
    <row r="78" ht="14.25" customHeight="1">
      <c r="A78" s="120"/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74"/>
      <c r="M78" s="121"/>
      <c r="N78" s="121"/>
      <c r="O78" s="121"/>
      <c r="P78" s="121"/>
      <c r="Q78" s="121"/>
      <c r="R78" s="121"/>
      <c r="S78" s="121"/>
      <c r="T78" s="129">
        <f>SUM(T76:T77)</f>
        <v>85</v>
      </c>
      <c r="U78" s="74"/>
      <c r="V78" s="74"/>
      <c r="W78" s="74"/>
      <c r="X78" s="74"/>
      <c r="Y78" s="74"/>
    </row>
    <row r="79" ht="14.25" customHeight="1"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</row>
    <row r="80" ht="21.0" customHeight="1">
      <c r="A80" s="123" t="s">
        <v>71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70"/>
      <c r="U80" s="74"/>
      <c r="V80" s="74"/>
      <c r="W80" s="74"/>
      <c r="X80" s="74"/>
      <c r="Y80" s="74"/>
    </row>
    <row r="81" ht="14.25" customHeight="1">
      <c r="A81" s="130"/>
      <c r="B81" s="114" t="s">
        <v>2</v>
      </c>
      <c r="C81" s="54"/>
      <c r="D81" s="54"/>
      <c r="E81" s="54"/>
      <c r="F81" s="54"/>
      <c r="G81" s="54"/>
      <c r="H81" s="54"/>
      <c r="I81" s="54"/>
      <c r="J81" s="70"/>
      <c r="K81" s="114" t="s">
        <v>3</v>
      </c>
      <c r="L81" s="54"/>
      <c r="M81" s="54"/>
      <c r="N81" s="54"/>
      <c r="O81" s="54"/>
      <c r="P81" s="54"/>
      <c r="Q81" s="54"/>
      <c r="R81" s="54"/>
      <c r="S81" s="54"/>
      <c r="T81" s="70"/>
      <c r="U81" s="74"/>
      <c r="V81" s="74"/>
      <c r="W81" s="74"/>
      <c r="X81" s="74"/>
      <c r="Y81" s="74"/>
    </row>
    <row r="82" ht="14.25" customHeight="1">
      <c r="A82" s="80"/>
      <c r="B82" s="124" t="s">
        <v>5</v>
      </c>
      <c r="C82" s="124" t="s">
        <v>49</v>
      </c>
      <c r="D82" s="124" t="s">
        <v>50</v>
      </c>
      <c r="E82" s="124" t="s">
        <v>51</v>
      </c>
      <c r="F82" s="124" t="s">
        <v>52</v>
      </c>
      <c r="G82" s="124" t="s">
        <v>10</v>
      </c>
      <c r="H82" s="124" t="s">
        <v>11</v>
      </c>
      <c r="I82" s="124" t="s">
        <v>12</v>
      </c>
      <c r="J82" s="124" t="s">
        <v>13</v>
      </c>
      <c r="K82" s="116" t="s">
        <v>5</v>
      </c>
      <c r="L82" s="116" t="s">
        <v>49</v>
      </c>
      <c r="M82" s="116" t="s">
        <v>50</v>
      </c>
      <c r="N82" s="116" t="s">
        <v>51</v>
      </c>
      <c r="O82" s="116" t="s">
        <v>52</v>
      </c>
      <c r="P82" s="116" t="s">
        <v>10</v>
      </c>
      <c r="Q82" s="116" t="s">
        <v>11</v>
      </c>
      <c r="R82" s="116" t="s">
        <v>12</v>
      </c>
      <c r="S82" s="116" t="s">
        <v>13</v>
      </c>
      <c r="T82" s="117" t="s">
        <v>53</v>
      </c>
      <c r="U82" s="74"/>
      <c r="V82" s="74"/>
      <c r="W82" s="74"/>
      <c r="X82" s="74"/>
      <c r="Y82" s="74"/>
    </row>
    <row r="83" ht="14.25" customHeight="1">
      <c r="A83" s="80" t="s">
        <v>54</v>
      </c>
      <c r="B83" s="118">
        <f>0+2+2+1</f>
        <v>5</v>
      </c>
      <c r="C83" s="118">
        <f>1+2-1-1+1-1+1+1</f>
        <v>3</v>
      </c>
      <c r="D83" s="118">
        <f>0+2-1+1+1-1-1+1-1-1+1+1-1+1+3-1+1</f>
        <v>5</v>
      </c>
      <c r="E83" s="118">
        <f>0+1+2-1-1+1-1+1+1</f>
        <v>3</v>
      </c>
      <c r="F83" s="118">
        <f>0+1+1+2-1-1+1-1+1-1+1</f>
        <v>3</v>
      </c>
      <c r="G83" s="118">
        <f>0+2+2-1-1+1+1+1</f>
        <v>5</v>
      </c>
      <c r="H83" s="118">
        <f>0+1+2-1+1</f>
        <v>3</v>
      </c>
      <c r="I83" s="118">
        <f>0+1+1-1+1</f>
        <v>2</v>
      </c>
      <c r="J83" s="118">
        <f>0+1+1+3-2</f>
        <v>3</v>
      </c>
      <c r="K83" s="118">
        <f>0+3+2</f>
        <v>5</v>
      </c>
      <c r="L83" s="118">
        <f>0+2-1+1+1+3+1-1+1+1-1+1-1</f>
        <v>7</v>
      </c>
      <c r="M83" s="118">
        <f>0+2-1+1+1+3-1+1-1+1+1+1+1+1+1-1+1-4</f>
        <v>7</v>
      </c>
      <c r="N83" s="118">
        <f>0+1+3-1+1+1+1-1+1+1-1</f>
        <v>6</v>
      </c>
      <c r="O83" s="118">
        <f>0+1-1+2+1+1-1+1-1+1+1</f>
        <v>5</v>
      </c>
      <c r="P83" s="118">
        <f>0+1-1+1+2+1-1+1-1-1-1</f>
        <v>1</v>
      </c>
      <c r="Q83" s="118">
        <f>0+1+2-1+1</f>
        <v>3</v>
      </c>
      <c r="R83" s="118">
        <f>0+1+1-1+1</f>
        <v>2</v>
      </c>
      <c r="S83" s="118">
        <f>0+1+1</f>
        <v>2</v>
      </c>
      <c r="T83" s="118">
        <f t="shared" ref="T83:T84" si="51">SUM(B83:S83)</f>
        <v>70</v>
      </c>
      <c r="U83" s="74"/>
      <c r="V83" s="74"/>
      <c r="W83" s="74"/>
      <c r="X83" s="74"/>
      <c r="Y83" s="74"/>
    </row>
    <row r="84" ht="14.25" customHeight="1">
      <c r="A84" s="80" t="s">
        <v>55</v>
      </c>
      <c r="B84" s="118">
        <f>0+1+2-1+1-1+1</f>
        <v>3</v>
      </c>
      <c r="C84" s="118">
        <f>0+1-1+1+1+2-1+1+1-1</f>
        <v>4</v>
      </c>
      <c r="D84" s="118">
        <f>0+1-1+1+1+2-1+1-1-1+4-2-1</f>
        <v>3</v>
      </c>
      <c r="E84" s="118">
        <f>0+2+2-1+1</f>
        <v>4</v>
      </c>
      <c r="F84" s="118">
        <f>0+2+2-1+1+1-1</f>
        <v>4</v>
      </c>
      <c r="G84" s="118">
        <f>0+1-1+1+2+1-1</f>
        <v>3</v>
      </c>
      <c r="H84" s="118">
        <f>0+1+2+1</f>
        <v>4</v>
      </c>
      <c r="I84" s="118">
        <f t="shared" ref="I84:J84" si="48">0+1+1</f>
        <v>2</v>
      </c>
      <c r="J84" s="118">
        <f t="shared" si="48"/>
        <v>2</v>
      </c>
      <c r="K84" s="118">
        <f>0+1-1+2+1+1-1</f>
        <v>3</v>
      </c>
      <c r="L84" s="118">
        <f>0+2-1+3-1+1-1+2</f>
        <v>5</v>
      </c>
      <c r="M84" s="118">
        <f>6-1</f>
        <v>5</v>
      </c>
      <c r="N84" s="118">
        <f t="shared" ref="N84:P84" si="49">5</f>
        <v>5</v>
      </c>
      <c r="O84" s="118">
        <f t="shared" si="49"/>
        <v>5</v>
      </c>
      <c r="P84" s="118">
        <f t="shared" si="49"/>
        <v>5</v>
      </c>
      <c r="Q84" s="118">
        <f>0+2+2</f>
        <v>4</v>
      </c>
      <c r="R84" s="118">
        <f t="shared" ref="R84:S84" si="50">0+1+1</f>
        <v>2</v>
      </c>
      <c r="S84" s="118">
        <f t="shared" si="50"/>
        <v>2</v>
      </c>
      <c r="T84" s="118">
        <f t="shared" si="51"/>
        <v>65</v>
      </c>
      <c r="U84" s="74"/>
      <c r="V84" s="74"/>
      <c r="W84" s="74"/>
      <c r="X84" s="74"/>
      <c r="Y84" s="74"/>
    </row>
    <row r="85" ht="14.25" customHeight="1">
      <c r="A85" s="8"/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1"/>
      <c r="M85" s="74"/>
      <c r="N85" s="74"/>
      <c r="O85" s="74"/>
      <c r="P85" s="74"/>
      <c r="Q85" s="74"/>
      <c r="R85" s="74"/>
      <c r="S85" s="74"/>
      <c r="T85" s="98">
        <f>SUM(T83:T84)</f>
        <v>135</v>
      </c>
      <c r="U85" s="74"/>
      <c r="V85" s="74"/>
      <c r="W85" s="74"/>
      <c r="X85" s="74"/>
      <c r="Y85" s="74"/>
    </row>
    <row r="86" ht="14.25" customHeight="1">
      <c r="A86" s="8"/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1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</row>
    <row r="87" ht="21.0" customHeight="1">
      <c r="A87" s="123" t="s">
        <v>72</v>
      </c>
      <c r="B87" s="54"/>
      <c r="C87" s="54"/>
      <c r="D87" s="54"/>
      <c r="E87" s="54"/>
      <c r="F87" s="54"/>
      <c r="G87" s="54"/>
      <c r="H87" s="54"/>
      <c r="I87" s="54"/>
      <c r="J87" s="54"/>
      <c r="K87" s="70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</row>
    <row r="88" ht="14.25" customHeight="1">
      <c r="A88" s="130"/>
      <c r="B88" s="114" t="s">
        <v>42</v>
      </c>
      <c r="C88" s="54"/>
      <c r="D88" s="54"/>
      <c r="E88" s="54"/>
      <c r="F88" s="54"/>
      <c r="G88" s="54"/>
      <c r="H88" s="54"/>
      <c r="I88" s="54"/>
      <c r="J88" s="54"/>
      <c r="K88" s="70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</row>
    <row r="89" ht="14.25" customHeight="1">
      <c r="A89" s="80"/>
      <c r="B89" s="131" t="s">
        <v>5</v>
      </c>
      <c r="C89" s="131" t="s">
        <v>49</v>
      </c>
      <c r="D89" s="131" t="s">
        <v>50</v>
      </c>
      <c r="E89" s="131" t="s">
        <v>51</v>
      </c>
      <c r="F89" s="131" t="s">
        <v>52</v>
      </c>
      <c r="G89" s="131" t="s">
        <v>10</v>
      </c>
      <c r="H89" s="131" t="s">
        <v>11</v>
      </c>
      <c r="I89" s="131" t="s">
        <v>12</v>
      </c>
      <c r="J89" s="131" t="s">
        <v>13</v>
      </c>
      <c r="K89" s="132" t="s">
        <v>53</v>
      </c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</row>
    <row r="90" ht="14.25" customHeight="1">
      <c r="A90" s="80" t="s">
        <v>54</v>
      </c>
      <c r="B90" s="118">
        <f>0+2-1-1+2+1-1-2+1+2-1+1-1+1-1+1+1-2+1+1-1</f>
        <v>3</v>
      </c>
      <c r="C90" s="118">
        <f>0+1-1+5+1-1-1-1-3+1+1+3+1+7+1-4+4+1-1+1-2-8+2-1+1-1+1+1+1+1-1+1-1+1</f>
        <v>10</v>
      </c>
      <c r="D90" s="118">
        <f>0+1+1+1-1+5+1-1-1-1+1-1-1+1+1+1-6-1+1-1+1+1+1+6+1-7+7-1+1+1-3-2+1+3+1-1+1+1+1+1-1-1</f>
        <v>12</v>
      </c>
      <c r="E90" s="118">
        <f>0+2+1+1-1-1+1+1-1+5-1-1-1+1+1-1-6+1-1+4+1+1+1-1+3+1+1-11+1+6-6+6+1+1+1+2-2+2+1-1+1+1+1-1-1+1+1-1+1+1-1+1-1+1</f>
        <v>16</v>
      </c>
      <c r="F90" s="118">
        <f>0+2-1+5+1-1-1+1+1-3-1-1-1+1+1+3+2-1-1-1+1-3+1+1+1+3-3+3-9+1+1-2+2+1+1+2+3-1+1+1+1+1-1+1-1+1</f>
        <v>12</v>
      </c>
      <c r="G90" s="118">
        <f>0+1-1+3+1-1+1-1+1+1-2+2-1+1+2+1-1-2+1+1+2-2-1+1+1+1+1-1+1</f>
        <v>10</v>
      </c>
      <c r="H90" s="118">
        <f>0+1-1+2+1-1+1-1+1+1-1+1+1+1+1-2+1</f>
        <v>6</v>
      </c>
      <c r="I90" s="118">
        <f>0+2-1+1-1+1+1-3+3+1+1</f>
        <v>5</v>
      </c>
      <c r="J90" s="118">
        <f>0+4-1+1-1+1+1+1</f>
        <v>6</v>
      </c>
      <c r="K90" s="118">
        <f t="shared" ref="K90:K91" si="52">SUM(B90:J90)</f>
        <v>80</v>
      </c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</row>
    <row r="91" ht="14.25" customHeight="1">
      <c r="A91" s="80" t="s">
        <v>55</v>
      </c>
      <c r="B91" s="118">
        <f>0+1+2-1-1+1-1+1+1-1+1</f>
        <v>3</v>
      </c>
      <c r="C91" s="118">
        <f>0+3+5-1+1-1+1-1+1-1+1</f>
        <v>8</v>
      </c>
      <c r="D91" s="118">
        <f>0+2+1+1-1+1+5-1-1+1+1-1-1+1-2-1+1+2-1+1+1-1+1+1-1+1-3+3</f>
        <v>10</v>
      </c>
      <c r="E91" s="118">
        <f>0+1+4-1+1-4+1+6-2+1+4-1+1-2+2</f>
        <v>11</v>
      </c>
      <c r="F91" s="118">
        <f>0+3-2+2+5-1+1-5-1+5-1-5+1-1+2-1+1-1+1-1+1</f>
        <v>3</v>
      </c>
      <c r="G91" s="118">
        <f>0+1+3-1+1-1-1+2-1-3+3-1+1+1-1+1</f>
        <v>4</v>
      </c>
      <c r="H91" s="118">
        <f>0+4+2-1+1-1+2-1+1</f>
        <v>7</v>
      </c>
      <c r="I91" s="118">
        <f>0+1-1+1</f>
        <v>1</v>
      </c>
      <c r="J91" s="118">
        <f>0+2+1-1+1</f>
        <v>3</v>
      </c>
      <c r="K91" s="118">
        <f t="shared" si="52"/>
        <v>50</v>
      </c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</row>
    <row r="92" ht="14.25" customHeight="1">
      <c r="E92" s="133" t="s">
        <v>0</v>
      </c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4"/>
      <c r="W92" s="74"/>
      <c r="X92" s="74"/>
      <c r="Y92" s="74"/>
    </row>
    <row r="93" ht="21.0" customHeight="1">
      <c r="A93" s="123" t="s">
        <v>73</v>
      </c>
      <c r="B93" s="54"/>
      <c r="C93" s="54"/>
      <c r="D93" s="54"/>
      <c r="E93" s="54"/>
      <c r="F93" s="54"/>
      <c r="G93" s="54"/>
      <c r="H93" s="54"/>
      <c r="I93" s="54"/>
      <c r="J93" s="54"/>
      <c r="K93" s="70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4"/>
      <c r="W93" s="74"/>
      <c r="X93" s="74"/>
      <c r="Y93" s="74"/>
    </row>
    <row r="94" ht="14.25" customHeight="1">
      <c r="A94" s="130"/>
      <c r="B94" s="114" t="s">
        <v>42</v>
      </c>
      <c r="C94" s="54"/>
      <c r="D94" s="54"/>
      <c r="E94" s="54"/>
      <c r="F94" s="54"/>
      <c r="G94" s="54"/>
      <c r="H94" s="54"/>
      <c r="I94" s="54"/>
      <c r="J94" s="70"/>
      <c r="K94" s="134" t="s">
        <v>53</v>
      </c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</row>
    <row r="95" ht="14.25" customHeight="1">
      <c r="A95" s="80"/>
      <c r="B95" s="131" t="s">
        <v>5</v>
      </c>
      <c r="C95" s="131" t="s">
        <v>49</v>
      </c>
      <c r="D95" s="131" t="s">
        <v>50</v>
      </c>
      <c r="E95" s="131" t="s">
        <v>51</v>
      </c>
      <c r="F95" s="131" t="s">
        <v>52</v>
      </c>
      <c r="G95" s="131" t="s">
        <v>10</v>
      </c>
      <c r="H95" s="131" t="s">
        <v>11</v>
      </c>
      <c r="I95" s="131" t="s">
        <v>12</v>
      </c>
      <c r="J95" s="131" t="s">
        <v>13</v>
      </c>
      <c r="K95" s="135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</row>
    <row r="96" ht="14.25" customHeight="1">
      <c r="A96" s="136" t="s">
        <v>54</v>
      </c>
      <c r="B96" s="137">
        <f>0+5-1+1+2</f>
        <v>7</v>
      </c>
      <c r="C96" s="137">
        <f>0+2+2+1-2+10+1+1-1-1+1+1+2-1+1</f>
        <v>17</v>
      </c>
      <c r="D96" s="137">
        <f>0+2+2+1-1-1-1+10+1+1+1+1-1+1-1-1-1+1+1-1+2+1-3+1+1-1+1-1+1-1</f>
        <v>15</v>
      </c>
      <c r="E96" s="137">
        <f>0+2-1+1+4+3+1-1-1-1-1-1+10+1+1+1-2+2-1+1+2-1+1-1+1-1+1-3+1-18+8</f>
        <v>8</v>
      </c>
      <c r="F96" s="137">
        <f>0+1-1+1+2+3-4+5+1+1-1-1-1+1+1-1-4+1+4-1+1+2+1-1+1-11</f>
        <v>0</v>
      </c>
      <c r="G96" s="137">
        <f>0+2-1+5+1-1+1+2+1-1-1+1-9</f>
        <v>0</v>
      </c>
      <c r="H96" s="137">
        <f>0+1+3+1-5</f>
        <v>0</v>
      </c>
      <c r="I96" s="137">
        <f>0+1+1</f>
        <v>2</v>
      </c>
      <c r="J96" s="137">
        <f>0+1+1+1</f>
        <v>3</v>
      </c>
      <c r="K96" s="118">
        <f t="shared" ref="K96:K100" si="53">SUM(B96:J96)</f>
        <v>52</v>
      </c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</row>
    <row r="97" ht="14.25" customHeight="1">
      <c r="A97" s="136" t="s">
        <v>55</v>
      </c>
      <c r="B97" s="137">
        <f>0+2+3-2</f>
        <v>3</v>
      </c>
      <c r="C97" s="137">
        <f>0+2+5-2</f>
        <v>5</v>
      </c>
      <c r="D97" s="137">
        <f>0+3-1+1-1+5+1-1+1-1+1+1+1-1-1+1-1</f>
        <v>8</v>
      </c>
      <c r="E97" s="137">
        <f>0+5-1+1-1-1-1+1+1+1-1+1-1+1+1-6+6-2+2-1+1</f>
        <v>6</v>
      </c>
      <c r="F97" s="137">
        <f>0+3-1+1-2+2-1+1</f>
        <v>3</v>
      </c>
      <c r="G97" s="137">
        <f>0+3-1+1-1+1</f>
        <v>3</v>
      </c>
      <c r="H97" s="137">
        <f t="shared" ref="H97:H98" si="54">0+2</f>
        <v>2</v>
      </c>
      <c r="I97" s="137">
        <f>0+1+1-1-1+1+1</f>
        <v>2</v>
      </c>
      <c r="J97" s="137">
        <f>0+1</f>
        <v>1</v>
      </c>
      <c r="K97" s="118">
        <f t="shared" si="53"/>
        <v>33</v>
      </c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4"/>
      <c r="W97" s="74"/>
      <c r="X97" s="74"/>
      <c r="Y97" s="74"/>
    </row>
    <row r="98" ht="14.25" customHeight="1">
      <c r="A98" s="136" t="s">
        <v>74</v>
      </c>
      <c r="B98" s="137">
        <f>0+2</f>
        <v>2</v>
      </c>
      <c r="C98" s="137">
        <f>0</f>
        <v>0</v>
      </c>
      <c r="D98" s="138">
        <f>0+2-1+1+1-1+1</f>
        <v>3</v>
      </c>
      <c r="E98" s="137">
        <f>0+2</f>
        <v>2</v>
      </c>
      <c r="F98" s="137">
        <f>0+3+2</f>
        <v>5</v>
      </c>
      <c r="G98" s="139">
        <f>0</f>
        <v>0</v>
      </c>
      <c r="H98" s="137">
        <f t="shared" si="54"/>
        <v>2</v>
      </c>
      <c r="I98" s="137">
        <f t="shared" ref="I98:J98" si="55">0+1+1</f>
        <v>2</v>
      </c>
      <c r="J98" s="137">
        <f t="shared" si="55"/>
        <v>2</v>
      </c>
      <c r="K98" s="118">
        <f t="shared" si="53"/>
        <v>18</v>
      </c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</row>
    <row r="99" ht="14.25" customHeight="1">
      <c r="A99" s="136" t="s">
        <v>43</v>
      </c>
      <c r="B99" s="137">
        <f>0</f>
        <v>0</v>
      </c>
      <c r="C99" s="137">
        <f t="shared" ref="C99:D99" si="56">0+2</f>
        <v>2</v>
      </c>
      <c r="D99" s="137">
        <f t="shared" si="56"/>
        <v>2</v>
      </c>
      <c r="E99" s="137">
        <f>0+1</f>
        <v>1</v>
      </c>
      <c r="F99" s="137">
        <f t="shared" ref="F99:J99" si="57">0</f>
        <v>0</v>
      </c>
      <c r="G99" s="137">
        <f t="shared" si="57"/>
        <v>0</v>
      </c>
      <c r="H99" s="137">
        <f t="shared" si="57"/>
        <v>0</v>
      </c>
      <c r="I99" s="137">
        <f t="shared" si="57"/>
        <v>0</v>
      </c>
      <c r="J99" s="137">
        <f t="shared" si="57"/>
        <v>0</v>
      </c>
      <c r="K99" s="118">
        <f t="shared" si="53"/>
        <v>5</v>
      </c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4"/>
      <c r="W99" s="74"/>
      <c r="X99" s="74"/>
      <c r="Y99" s="74"/>
    </row>
    <row r="100">
      <c r="A100" s="136" t="s">
        <v>18</v>
      </c>
      <c r="B100" s="137">
        <f t="shared" ref="B100:C100" si="58">0+2</f>
        <v>2</v>
      </c>
      <c r="C100" s="137">
        <f t="shared" si="58"/>
        <v>2</v>
      </c>
      <c r="D100" s="137">
        <f>0+1+2-1-1+1</f>
        <v>2</v>
      </c>
      <c r="E100" s="137">
        <f t="shared" ref="E100:G100" si="59">0+2</f>
        <v>2</v>
      </c>
      <c r="F100" s="137">
        <f t="shared" si="59"/>
        <v>2</v>
      </c>
      <c r="G100" s="137">
        <f t="shared" si="59"/>
        <v>2</v>
      </c>
      <c r="H100" s="137">
        <f>0+1+2-1+1</f>
        <v>3</v>
      </c>
      <c r="I100" s="137">
        <f>0+1+1</f>
        <v>2</v>
      </c>
      <c r="J100" s="137">
        <f>0+2+1</f>
        <v>3</v>
      </c>
      <c r="K100" s="118">
        <f t="shared" si="53"/>
        <v>20</v>
      </c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</row>
    <row r="101" ht="14.25" customHeight="1">
      <c r="A101" s="120"/>
      <c r="B101" s="120"/>
      <c r="C101" s="127"/>
      <c r="D101" s="120"/>
      <c r="E101" s="120"/>
      <c r="F101" s="120"/>
      <c r="G101" s="120"/>
      <c r="H101" s="120"/>
      <c r="I101" s="120"/>
      <c r="J101" s="120"/>
      <c r="K101" s="140">
        <f>SUM(K96:K100)</f>
        <v>128</v>
      </c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</row>
    <row r="102" ht="14.25" customHeight="1"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</row>
    <row r="103" ht="14.25" customHeight="1">
      <c r="A103" s="123" t="s">
        <v>75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70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4"/>
    </row>
    <row r="104" ht="14.25" customHeight="1">
      <c r="A104" s="114" t="s">
        <v>42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101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</row>
    <row r="105" ht="14.25" customHeight="1">
      <c r="A105" s="80"/>
      <c r="B105" s="131" t="s">
        <v>5</v>
      </c>
      <c r="C105" s="131" t="s">
        <v>49</v>
      </c>
      <c r="D105" s="131" t="s">
        <v>50</v>
      </c>
      <c r="E105" s="131" t="s">
        <v>51</v>
      </c>
      <c r="F105" s="131" t="s">
        <v>52</v>
      </c>
      <c r="G105" s="131" t="s">
        <v>10</v>
      </c>
      <c r="H105" s="131" t="s">
        <v>11</v>
      </c>
      <c r="I105" s="131" t="s">
        <v>12</v>
      </c>
      <c r="J105" s="131" t="s">
        <v>13</v>
      </c>
      <c r="K105" s="141" t="s">
        <v>53</v>
      </c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</row>
    <row r="106" ht="14.25" customHeight="1">
      <c r="A106" s="80" t="s">
        <v>54</v>
      </c>
      <c r="B106" s="118">
        <f>0</f>
        <v>0</v>
      </c>
      <c r="C106" s="118">
        <f>0+7+1</f>
        <v>8</v>
      </c>
      <c r="D106" s="118">
        <f>0</f>
        <v>0</v>
      </c>
      <c r="E106" s="118">
        <f>0+1</f>
        <v>1</v>
      </c>
      <c r="F106" s="118">
        <f>0+1-1+1+1+1-2+2-1-1-1+1+1+1-1+1-2-1+2+2-1-1-1-1</f>
        <v>0</v>
      </c>
      <c r="G106" s="118">
        <f>0+3+4+1</f>
        <v>8</v>
      </c>
      <c r="H106" s="118">
        <f t="shared" ref="H106:J106" si="60">0</f>
        <v>0</v>
      </c>
      <c r="I106" s="118">
        <f t="shared" si="60"/>
        <v>0</v>
      </c>
      <c r="J106" s="118">
        <f t="shared" si="60"/>
        <v>0</v>
      </c>
      <c r="K106" s="118">
        <f>SUM(B106:J106)</f>
        <v>17</v>
      </c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</row>
    <row r="107" ht="14.25" customHeight="1"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</row>
    <row r="108" ht="14.25" customHeight="1"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</row>
    <row r="109" ht="14.25" customHeight="1">
      <c r="A109" s="142" t="s">
        <v>76</v>
      </c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8"/>
      <c r="U109" s="74"/>
      <c r="V109" s="74"/>
      <c r="W109" s="74"/>
      <c r="X109" s="74"/>
      <c r="Y109" s="74"/>
    </row>
    <row r="110" ht="14.25" customHeight="1">
      <c r="A110" s="143"/>
      <c r="T110" s="144"/>
      <c r="U110" s="74"/>
      <c r="V110" s="74"/>
      <c r="W110" s="74"/>
      <c r="X110" s="74"/>
      <c r="Y110" s="74"/>
    </row>
    <row r="111" ht="14.25" customHeight="1">
      <c r="A111" s="143"/>
      <c r="T111" s="144"/>
      <c r="U111" s="74"/>
      <c r="V111" s="74"/>
      <c r="W111" s="74"/>
      <c r="X111" s="74"/>
      <c r="Y111" s="74"/>
    </row>
    <row r="112" ht="14.25" customHeight="1">
      <c r="A112" s="143"/>
      <c r="T112" s="144"/>
      <c r="U112" s="74"/>
      <c r="V112" s="74"/>
      <c r="W112" s="74"/>
      <c r="X112" s="74"/>
      <c r="Y112" s="74"/>
    </row>
    <row r="113" ht="14.25" customHeight="1">
      <c r="A113" s="145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1"/>
      <c r="U113" s="74"/>
      <c r="V113" s="74"/>
      <c r="W113" s="74"/>
      <c r="X113" s="74"/>
      <c r="Y113" s="74"/>
    </row>
    <row r="114" ht="14.25" customHeight="1">
      <c r="L114" s="74"/>
      <c r="M114" s="74"/>
      <c r="N114" s="74"/>
      <c r="O114" s="74"/>
      <c r="P114" s="74"/>
      <c r="Q114" s="74"/>
      <c r="R114" s="74"/>
      <c r="S114" s="74"/>
      <c r="T114" s="74"/>
      <c r="U114" s="74"/>
      <c r="V114" s="74"/>
      <c r="W114" s="74"/>
      <c r="X114" s="74"/>
      <c r="Y114" s="74"/>
    </row>
    <row r="115" ht="14.25" customHeight="1"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</row>
    <row r="116" ht="14.25" customHeight="1">
      <c r="A116" s="146" t="s">
        <v>77</v>
      </c>
      <c r="B116" s="147"/>
      <c r="C116" s="147"/>
      <c r="D116" s="147"/>
      <c r="E116" s="147"/>
      <c r="F116" s="147"/>
      <c r="G116" s="147"/>
      <c r="H116" s="147"/>
      <c r="I116" s="147"/>
      <c r="J116" s="147"/>
      <c r="K116" s="148"/>
      <c r="L116" s="74"/>
      <c r="M116" s="74"/>
      <c r="N116" s="74"/>
      <c r="O116" s="74"/>
      <c r="P116" s="74"/>
      <c r="Q116" s="74"/>
      <c r="R116" s="74"/>
      <c r="S116" s="74"/>
      <c r="T116" s="74"/>
      <c r="U116" s="74"/>
      <c r="V116" s="74"/>
      <c r="W116" s="74"/>
      <c r="X116" s="74"/>
      <c r="Y116" s="74"/>
    </row>
    <row r="117" ht="14.25" customHeight="1">
      <c r="A117" s="80"/>
      <c r="B117" s="114" t="s">
        <v>78</v>
      </c>
      <c r="C117" s="54"/>
      <c r="D117" s="54"/>
      <c r="E117" s="54"/>
      <c r="F117" s="54"/>
      <c r="G117" s="54"/>
      <c r="H117" s="54"/>
      <c r="I117" s="54"/>
      <c r="J117" s="70"/>
      <c r="K117" s="149" t="s">
        <v>79</v>
      </c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</row>
    <row r="118" ht="14.25" customHeight="1">
      <c r="A118" s="80" t="s">
        <v>28</v>
      </c>
      <c r="B118" s="150">
        <f>1-1+1</f>
        <v>1</v>
      </c>
      <c r="C118" s="54"/>
      <c r="D118" s="54"/>
      <c r="E118" s="54"/>
      <c r="F118" s="54"/>
      <c r="G118" s="54"/>
      <c r="H118" s="54"/>
      <c r="I118" s="54"/>
      <c r="J118" s="70"/>
      <c r="K118" s="151">
        <f t="shared" ref="K118:K128" si="61">SUM(B118:J118)</f>
        <v>1</v>
      </c>
      <c r="L118" s="152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</row>
    <row r="119" ht="14.25" customHeight="1">
      <c r="A119" s="80" t="s">
        <v>23</v>
      </c>
      <c r="B119" s="153">
        <f>2-1</f>
        <v>1</v>
      </c>
      <c r="C119" s="54"/>
      <c r="D119" s="54"/>
      <c r="E119" s="54"/>
      <c r="F119" s="54"/>
      <c r="G119" s="54"/>
      <c r="H119" s="54"/>
      <c r="I119" s="54"/>
      <c r="J119" s="70"/>
      <c r="K119" s="151">
        <f t="shared" si="61"/>
        <v>1</v>
      </c>
      <c r="L119" s="152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</row>
    <row r="120" ht="14.25" customHeight="1">
      <c r="A120" s="80" t="s">
        <v>80</v>
      </c>
      <c r="B120" s="153">
        <f>3-3+3-1</f>
        <v>2</v>
      </c>
      <c r="C120" s="54"/>
      <c r="D120" s="54"/>
      <c r="E120" s="54"/>
      <c r="F120" s="54"/>
      <c r="G120" s="54"/>
      <c r="H120" s="54"/>
      <c r="I120" s="54"/>
      <c r="J120" s="70"/>
      <c r="K120" s="151">
        <f t="shared" si="61"/>
        <v>2</v>
      </c>
      <c r="L120" s="152"/>
      <c r="M120" s="74"/>
      <c r="N120" s="74"/>
      <c r="O120" s="74"/>
      <c r="P120" s="152"/>
      <c r="Q120" s="74"/>
      <c r="R120" s="74"/>
      <c r="S120" s="74"/>
      <c r="T120" s="74"/>
      <c r="U120" s="74"/>
      <c r="V120" s="74"/>
      <c r="W120" s="74"/>
      <c r="X120" s="74"/>
      <c r="Y120" s="74"/>
    </row>
    <row r="121" ht="14.25" customHeight="1">
      <c r="A121" s="80" t="s">
        <v>15</v>
      </c>
      <c r="B121" s="150">
        <f>2-2+3</f>
        <v>3</v>
      </c>
      <c r="C121" s="54"/>
      <c r="D121" s="54"/>
      <c r="E121" s="54"/>
      <c r="F121" s="54"/>
      <c r="G121" s="54"/>
      <c r="H121" s="54"/>
      <c r="I121" s="54"/>
      <c r="J121" s="70"/>
      <c r="K121" s="151">
        <f t="shared" si="61"/>
        <v>3</v>
      </c>
      <c r="L121" s="152"/>
      <c r="M121" s="74"/>
      <c r="N121" s="74"/>
      <c r="O121" s="74"/>
      <c r="P121" s="152"/>
      <c r="Q121" s="74"/>
      <c r="R121" s="74"/>
      <c r="S121" s="74"/>
      <c r="T121" s="74"/>
      <c r="U121" s="74"/>
      <c r="V121" s="74"/>
      <c r="W121" s="74"/>
      <c r="X121" s="74"/>
      <c r="Y121" s="74"/>
    </row>
    <row r="122" ht="14.25" customHeight="1">
      <c r="A122" s="154" t="s">
        <v>81</v>
      </c>
      <c r="B122" s="150">
        <f>2-1+1</f>
        <v>2</v>
      </c>
      <c r="C122" s="54"/>
      <c r="D122" s="54"/>
      <c r="E122" s="54"/>
      <c r="F122" s="54"/>
      <c r="G122" s="54"/>
      <c r="H122" s="54"/>
      <c r="I122" s="54"/>
      <c r="J122" s="70"/>
      <c r="K122" s="151">
        <f t="shared" si="61"/>
        <v>2</v>
      </c>
      <c r="L122" s="152"/>
      <c r="M122" s="74"/>
      <c r="N122" s="74"/>
      <c r="O122" s="74"/>
      <c r="P122" s="152"/>
      <c r="Q122" s="74"/>
      <c r="R122" s="74"/>
      <c r="S122" s="74"/>
      <c r="T122" s="74"/>
      <c r="U122" s="74"/>
      <c r="V122" s="74"/>
      <c r="W122" s="74"/>
      <c r="X122" s="74"/>
      <c r="Y122" s="74"/>
    </row>
    <row r="123" ht="14.25" customHeight="1">
      <c r="A123" s="154" t="s">
        <v>17</v>
      </c>
      <c r="B123" s="150">
        <f>3</f>
        <v>3</v>
      </c>
      <c r="C123" s="54"/>
      <c r="D123" s="54"/>
      <c r="E123" s="54"/>
      <c r="F123" s="54"/>
      <c r="G123" s="54"/>
      <c r="H123" s="54"/>
      <c r="I123" s="54"/>
      <c r="J123" s="70"/>
      <c r="K123" s="151">
        <f t="shared" si="61"/>
        <v>3</v>
      </c>
      <c r="L123" s="152"/>
      <c r="M123" s="74"/>
      <c r="N123" s="74"/>
      <c r="O123" s="74"/>
      <c r="P123" s="152"/>
      <c r="Q123" s="74"/>
      <c r="R123" s="74"/>
      <c r="S123" s="74"/>
      <c r="T123" s="74"/>
      <c r="U123" s="74"/>
      <c r="V123" s="74"/>
      <c r="W123" s="74"/>
      <c r="X123" s="74"/>
      <c r="Y123" s="74"/>
    </row>
    <row r="124" ht="14.25" customHeight="1">
      <c r="A124" s="154" t="s">
        <v>59</v>
      </c>
      <c r="B124" s="150">
        <f>1</f>
        <v>1</v>
      </c>
      <c r="C124" s="54"/>
      <c r="D124" s="54"/>
      <c r="E124" s="54"/>
      <c r="F124" s="54"/>
      <c r="G124" s="54"/>
      <c r="H124" s="54"/>
      <c r="I124" s="54"/>
      <c r="J124" s="70"/>
      <c r="K124" s="151">
        <f t="shared" si="61"/>
        <v>1</v>
      </c>
      <c r="L124" s="152"/>
      <c r="M124" s="74"/>
      <c r="N124" s="74"/>
      <c r="O124" s="74"/>
      <c r="P124" s="152"/>
      <c r="Q124" s="74"/>
      <c r="R124" s="74"/>
      <c r="S124" s="74"/>
      <c r="T124" s="74"/>
      <c r="U124" s="74"/>
      <c r="V124" s="74"/>
      <c r="W124" s="74"/>
      <c r="X124" s="74"/>
      <c r="Y124" s="74"/>
    </row>
    <row r="125" ht="14.25" customHeight="1">
      <c r="A125" s="154" t="s">
        <v>82</v>
      </c>
      <c r="B125" s="150">
        <f>2-2+2</f>
        <v>2</v>
      </c>
      <c r="C125" s="54"/>
      <c r="D125" s="54"/>
      <c r="E125" s="54"/>
      <c r="F125" s="54"/>
      <c r="G125" s="54"/>
      <c r="H125" s="54"/>
      <c r="I125" s="54"/>
      <c r="J125" s="70"/>
      <c r="K125" s="151">
        <f t="shared" si="61"/>
        <v>2</v>
      </c>
      <c r="L125" s="152"/>
      <c r="M125" s="74"/>
      <c r="N125" s="74"/>
      <c r="O125" s="74"/>
      <c r="P125" s="152"/>
      <c r="Q125" s="74"/>
      <c r="R125" s="74"/>
      <c r="S125" s="74"/>
      <c r="T125" s="74"/>
      <c r="U125" s="74"/>
      <c r="V125" s="74"/>
      <c r="W125" s="74"/>
      <c r="X125" s="74"/>
      <c r="Y125" s="74"/>
    </row>
    <row r="126" ht="14.25" customHeight="1">
      <c r="A126" s="154" t="s">
        <v>83</v>
      </c>
      <c r="B126" s="150">
        <f>2</f>
        <v>2</v>
      </c>
      <c r="C126" s="54"/>
      <c r="D126" s="54"/>
      <c r="E126" s="54"/>
      <c r="F126" s="54"/>
      <c r="G126" s="54"/>
      <c r="H126" s="54"/>
      <c r="I126" s="54"/>
      <c r="J126" s="70"/>
      <c r="K126" s="151">
        <f t="shared" si="61"/>
        <v>2</v>
      </c>
      <c r="L126" s="152"/>
      <c r="M126" s="74"/>
      <c r="N126" s="74"/>
      <c r="O126" s="74"/>
      <c r="P126" s="152"/>
      <c r="Q126" s="74"/>
      <c r="R126" s="74"/>
      <c r="S126" s="74"/>
      <c r="T126" s="74"/>
      <c r="U126" s="74"/>
      <c r="V126" s="74"/>
      <c r="W126" s="74"/>
      <c r="X126" s="74"/>
      <c r="Y126" s="74"/>
    </row>
    <row r="127" ht="14.25" customHeight="1">
      <c r="A127" s="154" t="s">
        <v>84</v>
      </c>
      <c r="B127" s="150">
        <f>4-1+1</f>
        <v>4</v>
      </c>
      <c r="C127" s="54"/>
      <c r="D127" s="54"/>
      <c r="E127" s="54"/>
      <c r="F127" s="54"/>
      <c r="G127" s="54"/>
      <c r="H127" s="54"/>
      <c r="I127" s="54"/>
      <c r="J127" s="70"/>
      <c r="K127" s="151">
        <f t="shared" si="61"/>
        <v>4</v>
      </c>
      <c r="L127" s="152"/>
      <c r="M127" s="74"/>
      <c r="N127" s="74"/>
      <c r="O127" s="74"/>
      <c r="P127" s="152"/>
      <c r="Q127" s="74"/>
      <c r="R127" s="74"/>
      <c r="S127" s="74"/>
      <c r="T127" s="74"/>
      <c r="U127" s="74"/>
      <c r="V127" s="74"/>
      <c r="W127" s="74"/>
      <c r="X127" s="74"/>
      <c r="Y127" s="74"/>
    </row>
    <row r="128" ht="14.25" customHeight="1">
      <c r="A128" s="80" t="s">
        <v>18</v>
      </c>
      <c r="B128" s="153">
        <f>0+2</f>
        <v>2</v>
      </c>
      <c r="C128" s="54"/>
      <c r="D128" s="54"/>
      <c r="E128" s="54"/>
      <c r="F128" s="54"/>
      <c r="G128" s="54"/>
      <c r="H128" s="54"/>
      <c r="I128" s="54"/>
      <c r="J128" s="70"/>
      <c r="K128" s="151">
        <f t="shared" si="61"/>
        <v>2</v>
      </c>
      <c r="L128" s="152"/>
      <c r="M128" s="74"/>
      <c r="N128" s="74"/>
      <c r="O128" s="74"/>
      <c r="P128" s="152"/>
      <c r="Q128" s="74"/>
      <c r="R128" s="74"/>
      <c r="S128" s="74"/>
      <c r="T128" s="74"/>
      <c r="U128" s="74"/>
      <c r="V128" s="74"/>
      <c r="W128" s="74"/>
      <c r="X128" s="74"/>
      <c r="Y128" s="74"/>
    </row>
    <row r="129" ht="14.25" customHeight="1">
      <c r="A129" s="8"/>
      <c r="B129" s="127"/>
      <c r="C129" s="127"/>
      <c r="D129" s="127"/>
      <c r="E129" s="127"/>
      <c r="F129" s="127"/>
      <c r="G129" s="127"/>
      <c r="H129" s="127"/>
      <c r="I129" s="127"/>
      <c r="J129" s="127"/>
      <c r="K129" s="155">
        <f>SUM(K118:K128)</f>
        <v>23</v>
      </c>
      <c r="M129" s="74"/>
      <c r="N129" s="74"/>
      <c r="O129" s="74"/>
      <c r="P129" s="152"/>
      <c r="Q129" s="74"/>
      <c r="R129" s="74"/>
      <c r="S129" s="74"/>
      <c r="T129" s="74"/>
      <c r="U129" s="74"/>
      <c r="V129" s="74"/>
      <c r="W129" s="74"/>
      <c r="X129" s="74"/>
      <c r="Y129" s="74"/>
    </row>
    <row r="130" ht="14.25" customHeight="1">
      <c r="M130" s="74"/>
      <c r="N130" s="74"/>
      <c r="O130" s="74"/>
      <c r="P130" s="152"/>
      <c r="Q130" s="74"/>
      <c r="R130" s="74"/>
      <c r="S130" s="74"/>
      <c r="T130" s="74"/>
      <c r="U130" s="74"/>
      <c r="V130" s="74"/>
      <c r="W130" s="74"/>
      <c r="X130" s="74"/>
      <c r="Y130" s="74"/>
    </row>
    <row r="131" ht="14.25" customHeight="1">
      <c r="A131" s="156" t="s">
        <v>77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70"/>
      <c r="M131" s="74"/>
      <c r="N131" s="74"/>
      <c r="O131" s="74"/>
      <c r="P131" s="74"/>
      <c r="Q131" s="74"/>
      <c r="R131" s="74"/>
      <c r="S131" s="74"/>
      <c r="T131" s="74"/>
      <c r="U131" s="74"/>
      <c r="V131" s="74"/>
      <c r="W131" s="74"/>
      <c r="X131" s="74"/>
      <c r="Y131" s="74"/>
    </row>
    <row r="132" ht="14.25" customHeight="1">
      <c r="A132" s="114" t="s">
        <v>85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70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</row>
    <row r="133" ht="14.25" customHeight="1">
      <c r="A133" s="80" t="s">
        <v>86</v>
      </c>
      <c r="B133" s="131" t="s">
        <v>5</v>
      </c>
      <c r="C133" s="131" t="s">
        <v>49</v>
      </c>
      <c r="D133" s="131" t="s">
        <v>50</v>
      </c>
      <c r="E133" s="131" t="s">
        <v>51</v>
      </c>
      <c r="F133" s="131" t="s">
        <v>52</v>
      </c>
      <c r="G133" s="131" t="s">
        <v>10</v>
      </c>
      <c r="H133" s="131" t="s">
        <v>11</v>
      </c>
      <c r="I133" s="131" t="s">
        <v>12</v>
      </c>
      <c r="J133" s="131" t="s">
        <v>13</v>
      </c>
      <c r="K133" s="117" t="s">
        <v>53</v>
      </c>
      <c r="M133" s="74"/>
      <c r="N133" s="74"/>
      <c r="O133" s="74"/>
      <c r="P133" s="74"/>
      <c r="Q133" s="74"/>
      <c r="R133" s="74"/>
      <c r="S133" s="74"/>
      <c r="T133" s="74"/>
      <c r="U133" s="74"/>
      <c r="V133" s="74"/>
      <c r="W133" s="74"/>
      <c r="X133" s="74"/>
      <c r="Y133" s="74"/>
    </row>
    <row r="134" ht="14.25" customHeight="1">
      <c r="A134" s="154" t="s">
        <v>23</v>
      </c>
      <c r="B134" s="118">
        <f>0+2</f>
        <v>2</v>
      </c>
      <c r="C134" s="118">
        <f>0</f>
        <v>0</v>
      </c>
      <c r="D134" s="118">
        <f>0+1-1+1-1+1+1</f>
        <v>2</v>
      </c>
      <c r="E134" s="118">
        <f>0+1-1+1-1+1+1-1</f>
        <v>1</v>
      </c>
      <c r="F134" s="118">
        <f t="shared" ref="F134:G134" si="62">0</f>
        <v>0</v>
      </c>
      <c r="G134" s="118">
        <f t="shared" si="62"/>
        <v>0</v>
      </c>
      <c r="H134" s="118">
        <f>0+1-1+1-1</f>
        <v>0</v>
      </c>
      <c r="I134" s="118">
        <f t="shared" ref="I134:J134" si="63">0</f>
        <v>0</v>
      </c>
      <c r="J134" s="118">
        <f t="shared" si="63"/>
        <v>0</v>
      </c>
      <c r="K134" s="157">
        <f t="shared" ref="K134:K136" si="65">SUM(B134:J134)</f>
        <v>5</v>
      </c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</row>
    <row r="135" ht="14.25" customHeight="1">
      <c r="A135" s="154" t="s">
        <v>15</v>
      </c>
      <c r="B135" s="118">
        <f>0+2-1+1</f>
        <v>2</v>
      </c>
      <c r="C135" s="118">
        <f>0+1</f>
        <v>1</v>
      </c>
      <c r="D135" s="118">
        <f>0+2+1+1</f>
        <v>4</v>
      </c>
      <c r="E135" s="118">
        <f>0+2-1+1</f>
        <v>2</v>
      </c>
      <c r="F135" s="118">
        <f>0+1-1+1-1+1</f>
        <v>1</v>
      </c>
      <c r="G135" s="119">
        <f>0+2-1+1-1+1-1+1</f>
        <v>2</v>
      </c>
      <c r="H135" s="118">
        <f>0+1-1+1</f>
        <v>1</v>
      </c>
      <c r="I135" s="118">
        <f t="shared" ref="I135:J135" si="64">0</f>
        <v>0</v>
      </c>
      <c r="J135" s="118">
        <f t="shared" si="64"/>
        <v>0</v>
      </c>
      <c r="K135" s="151">
        <f t="shared" si="65"/>
        <v>13</v>
      </c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</row>
    <row r="136" ht="14.25" customHeight="1">
      <c r="A136" s="80" t="s">
        <v>28</v>
      </c>
      <c r="B136" s="118">
        <f t="shared" ref="B136:C136" si="66">0</f>
        <v>0</v>
      </c>
      <c r="C136" s="118">
        <f t="shared" si="66"/>
        <v>0</v>
      </c>
      <c r="D136" s="118">
        <f>0+1-1</f>
        <v>0</v>
      </c>
      <c r="E136" s="118">
        <f>6-6</f>
        <v>0</v>
      </c>
      <c r="F136" s="118">
        <f>1-1</f>
        <v>0</v>
      </c>
      <c r="G136" s="118">
        <f t="shared" ref="G136:J136" si="67">0</f>
        <v>0</v>
      </c>
      <c r="H136" s="119">
        <f t="shared" si="67"/>
        <v>0</v>
      </c>
      <c r="I136" s="118">
        <f t="shared" si="67"/>
        <v>0</v>
      </c>
      <c r="J136" s="118">
        <f t="shared" si="67"/>
        <v>0</v>
      </c>
      <c r="K136" s="151">
        <f t="shared" si="65"/>
        <v>0</v>
      </c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</row>
    <row r="137" ht="14.25" customHeight="1">
      <c r="A137" s="8"/>
      <c r="B137" s="127"/>
      <c r="C137" s="127"/>
      <c r="D137" s="127"/>
      <c r="E137" s="127"/>
      <c r="F137" s="127"/>
      <c r="G137" s="127"/>
      <c r="H137" s="127"/>
      <c r="I137" s="127"/>
      <c r="J137" s="127"/>
      <c r="K137" s="155">
        <f>SUM(K134:K136)</f>
        <v>18</v>
      </c>
      <c r="M137" s="74"/>
      <c r="N137" s="74"/>
      <c r="O137" s="74"/>
      <c r="P137" s="74"/>
      <c r="Q137" s="74"/>
      <c r="R137" s="74"/>
      <c r="S137" s="74"/>
      <c r="T137" s="74"/>
      <c r="U137" s="74"/>
      <c r="V137" s="74"/>
      <c r="W137" s="74"/>
      <c r="X137" s="74"/>
      <c r="Y137" s="74"/>
    </row>
    <row r="138" ht="14.25" customHeight="1">
      <c r="M138" s="74"/>
      <c r="N138" s="74"/>
      <c r="O138" s="74"/>
      <c r="P138" s="74"/>
      <c r="Q138" s="74"/>
      <c r="R138" s="74"/>
      <c r="S138" s="74"/>
      <c r="T138" s="74"/>
      <c r="U138" s="74"/>
      <c r="V138" s="74"/>
      <c r="W138" s="74"/>
      <c r="X138" s="74"/>
      <c r="Y138" s="74"/>
    </row>
    <row r="139" ht="14.25" customHeight="1">
      <c r="M139" s="74"/>
      <c r="N139" s="74"/>
      <c r="O139" s="74"/>
      <c r="P139" s="74"/>
      <c r="Q139" s="74"/>
      <c r="R139" s="74"/>
      <c r="S139" s="74"/>
      <c r="T139" s="74"/>
      <c r="U139" s="74"/>
      <c r="V139" s="74"/>
      <c r="W139" s="74"/>
      <c r="X139" s="74"/>
      <c r="Y139" s="74"/>
    </row>
    <row r="140" ht="14.25" customHeight="1">
      <c r="M140" s="74"/>
      <c r="N140" s="74"/>
      <c r="O140" s="74"/>
      <c r="P140" s="74"/>
      <c r="Q140" s="74"/>
      <c r="R140" s="74"/>
      <c r="S140" s="74"/>
      <c r="T140" s="74"/>
      <c r="U140" s="74"/>
      <c r="V140" s="74"/>
      <c r="W140" s="74"/>
      <c r="X140" s="74"/>
      <c r="Y140" s="74"/>
    </row>
    <row r="141" ht="14.25" customHeight="1">
      <c r="A141" s="146" t="s">
        <v>77</v>
      </c>
      <c r="B141" s="147"/>
      <c r="C141" s="147"/>
      <c r="D141" s="147"/>
      <c r="E141" s="147"/>
      <c r="F141" s="147"/>
      <c r="G141" s="147"/>
      <c r="H141" s="147"/>
      <c r="I141" s="147"/>
      <c r="J141" s="147"/>
      <c r="K141" s="148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</row>
    <row r="142" ht="14.25" customHeight="1">
      <c r="A142" s="80"/>
      <c r="B142" s="114" t="s">
        <v>87</v>
      </c>
      <c r="C142" s="54"/>
      <c r="D142" s="54"/>
      <c r="E142" s="54"/>
      <c r="F142" s="54"/>
      <c r="G142" s="54"/>
      <c r="H142" s="54"/>
      <c r="I142" s="54"/>
      <c r="J142" s="70"/>
      <c r="K142" s="149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</row>
    <row r="143" ht="14.25" customHeight="1">
      <c r="A143" s="80"/>
      <c r="B143" s="114" t="s">
        <v>88</v>
      </c>
      <c r="C143" s="54"/>
      <c r="D143" s="54"/>
      <c r="E143" s="54"/>
      <c r="F143" s="54"/>
      <c r="G143" s="54"/>
      <c r="H143" s="54"/>
      <c r="I143" s="54"/>
      <c r="J143" s="70"/>
      <c r="K143" s="117" t="s">
        <v>53</v>
      </c>
      <c r="M143" s="74"/>
      <c r="N143" s="74"/>
      <c r="O143" s="74"/>
      <c r="P143" s="74"/>
      <c r="Q143" s="74"/>
      <c r="R143" s="74"/>
      <c r="S143" s="74"/>
      <c r="T143" s="74"/>
      <c r="U143" s="74"/>
      <c r="V143" s="74"/>
      <c r="W143" s="74"/>
      <c r="X143" s="74"/>
      <c r="Y143" s="74"/>
    </row>
    <row r="144" ht="14.25" customHeight="1">
      <c r="A144" s="154" t="s">
        <v>23</v>
      </c>
      <c r="B144" s="114">
        <f>8-3+3-1+1</f>
        <v>8</v>
      </c>
      <c r="C144" s="54"/>
      <c r="D144" s="54"/>
      <c r="E144" s="54"/>
      <c r="F144" s="54"/>
      <c r="G144" s="54"/>
      <c r="H144" s="54"/>
      <c r="I144" s="54"/>
      <c r="J144" s="70"/>
      <c r="K144" s="151">
        <f>SUM(B144)</f>
        <v>8</v>
      </c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</row>
    <row r="145" ht="14.25" customHeight="1">
      <c r="A145" s="80" t="s">
        <v>28</v>
      </c>
      <c r="B145" s="114">
        <v>0.0</v>
      </c>
      <c r="C145" s="54"/>
      <c r="D145" s="54"/>
      <c r="E145" s="54"/>
      <c r="F145" s="54"/>
      <c r="G145" s="54"/>
      <c r="H145" s="54"/>
      <c r="I145" s="54"/>
      <c r="J145" s="70"/>
      <c r="K145" s="151">
        <f>SUM(B145:J145)</f>
        <v>0</v>
      </c>
      <c r="M145" s="74"/>
      <c r="N145" s="74"/>
      <c r="O145" s="74"/>
      <c r="P145" s="74"/>
      <c r="Q145" s="74"/>
      <c r="R145" s="74"/>
      <c r="S145" s="74"/>
      <c r="T145" s="74"/>
      <c r="U145" s="74"/>
      <c r="V145" s="74"/>
      <c r="W145" s="74"/>
      <c r="X145" s="74"/>
      <c r="Y145" s="74"/>
    </row>
    <row r="146" ht="14.25" customHeight="1">
      <c r="A146" s="8"/>
      <c r="B146" s="127"/>
      <c r="C146" s="127"/>
      <c r="D146" s="127"/>
      <c r="E146" s="127"/>
      <c r="F146" s="127"/>
      <c r="G146" s="127"/>
      <c r="H146" s="127"/>
      <c r="I146" s="127"/>
      <c r="J146" s="127"/>
      <c r="K146" s="155">
        <f>SUM(K144:K145)</f>
        <v>8</v>
      </c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</row>
    <row r="147" ht="14.25" customHeight="1"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4"/>
    </row>
    <row r="148" ht="14.25" customHeight="1"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</row>
    <row r="149" ht="14.25" customHeight="1">
      <c r="A149" s="158" t="s">
        <v>89</v>
      </c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8"/>
      <c r="U149" s="74"/>
      <c r="V149" s="74"/>
      <c r="W149" s="74"/>
      <c r="X149" s="74"/>
      <c r="Y149" s="74"/>
    </row>
    <row r="150" ht="14.25" customHeight="1">
      <c r="A150" s="143"/>
      <c r="T150" s="144"/>
      <c r="U150" s="74"/>
      <c r="V150" s="74"/>
      <c r="W150" s="74"/>
      <c r="X150" s="74"/>
      <c r="Y150" s="74"/>
    </row>
    <row r="151" ht="14.25" customHeight="1">
      <c r="A151" s="143"/>
      <c r="T151" s="144"/>
      <c r="U151" s="74"/>
      <c r="V151" s="74"/>
      <c r="W151" s="74"/>
      <c r="X151" s="74"/>
      <c r="Y151" s="74"/>
    </row>
    <row r="152" ht="14.25" customHeight="1">
      <c r="A152" s="143"/>
      <c r="T152" s="144"/>
      <c r="U152" s="74"/>
      <c r="V152" s="74"/>
      <c r="W152" s="74"/>
      <c r="X152" s="74"/>
      <c r="Y152" s="74"/>
    </row>
    <row r="153" ht="14.25" customHeight="1">
      <c r="A153" s="145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1"/>
      <c r="U153" s="74"/>
      <c r="V153" s="74"/>
      <c r="W153" s="74"/>
      <c r="X153" s="74"/>
      <c r="Y153" s="74"/>
    </row>
    <row r="154" ht="14.25" customHeight="1">
      <c r="M154" s="74"/>
      <c r="N154" s="74"/>
      <c r="O154" s="74"/>
      <c r="P154" s="74"/>
      <c r="Q154" s="74"/>
      <c r="R154" s="74"/>
      <c r="S154" s="74"/>
      <c r="T154" s="74"/>
      <c r="U154" s="74"/>
      <c r="V154" s="74"/>
      <c r="W154" s="74"/>
      <c r="X154" s="74"/>
      <c r="Y154" s="74"/>
    </row>
    <row r="155" ht="14.25" customHeight="1">
      <c r="A155" s="159"/>
      <c r="B155" s="112"/>
      <c r="C155" s="112"/>
      <c r="D155" s="112"/>
      <c r="E155" s="112"/>
      <c r="F155" s="112"/>
      <c r="G155" s="112"/>
      <c r="H155" s="112"/>
      <c r="I155" s="112"/>
      <c r="J155" s="160"/>
      <c r="K155" s="161"/>
      <c r="M155" s="74"/>
      <c r="N155" s="74"/>
      <c r="O155" s="74"/>
      <c r="P155" s="74"/>
      <c r="Q155" s="74"/>
      <c r="R155" s="74"/>
      <c r="S155" s="74"/>
      <c r="T155" s="74"/>
      <c r="U155" s="74"/>
      <c r="V155" s="74"/>
      <c r="W155" s="74"/>
      <c r="X155" s="74"/>
      <c r="Y155" s="74"/>
    </row>
    <row r="156" ht="21.0" customHeight="1">
      <c r="A156" s="162" t="s">
        <v>90</v>
      </c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4"/>
      <c r="U156" s="74"/>
      <c r="V156" s="74"/>
      <c r="W156" s="74"/>
      <c r="X156" s="74"/>
      <c r="Y156" s="74"/>
    </row>
    <row r="157" ht="14.25" customHeight="1">
      <c r="A157" s="165"/>
      <c r="B157" s="166" t="s">
        <v>2</v>
      </c>
      <c r="C157" s="54"/>
      <c r="D157" s="54"/>
      <c r="E157" s="54"/>
      <c r="F157" s="54"/>
      <c r="G157" s="54"/>
      <c r="H157" s="54"/>
      <c r="I157" s="54"/>
      <c r="J157" s="70"/>
      <c r="K157" s="166" t="s">
        <v>3</v>
      </c>
      <c r="L157" s="54"/>
      <c r="M157" s="54"/>
      <c r="N157" s="54"/>
      <c r="O157" s="54"/>
      <c r="P157" s="54"/>
      <c r="Q157" s="54"/>
      <c r="R157" s="54"/>
      <c r="S157" s="70"/>
      <c r="T157" s="97" t="s">
        <v>53</v>
      </c>
      <c r="U157" s="74"/>
      <c r="V157" s="74"/>
      <c r="W157" s="74"/>
      <c r="X157" s="74"/>
      <c r="Y157" s="74"/>
    </row>
    <row r="158" ht="14.25" customHeight="1">
      <c r="A158" s="167"/>
      <c r="B158" s="168" t="s">
        <v>5</v>
      </c>
      <c r="C158" s="168" t="s">
        <v>49</v>
      </c>
      <c r="D158" s="168" t="s">
        <v>50</v>
      </c>
      <c r="E158" s="168" t="s">
        <v>51</v>
      </c>
      <c r="F158" s="168" t="s">
        <v>52</v>
      </c>
      <c r="G158" s="168" t="s">
        <v>10</v>
      </c>
      <c r="H158" s="168" t="s">
        <v>11</v>
      </c>
      <c r="I158" s="168" t="s">
        <v>12</v>
      </c>
      <c r="J158" s="168" t="s">
        <v>13</v>
      </c>
      <c r="K158" s="169" t="s">
        <v>5</v>
      </c>
      <c r="L158" s="169" t="s">
        <v>49</v>
      </c>
      <c r="M158" s="169" t="s">
        <v>50</v>
      </c>
      <c r="N158" s="169" t="s">
        <v>51</v>
      </c>
      <c r="O158" s="169" t="s">
        <v>52</v>
      </c>
      <c r="P158" s="169" t="s">
        <v>10</v>
      </c>
      <c r="Q158" s="169" t="s">
        <v>11</v>
      </c>
      <c r="R158" s="169" t="s">
        <v>12</v>
      </c>
      <c r="S158" s="169" t="s">
        <v>13</v>
      </c>
      <c r="T158" s="135"/>
      <c r="U158" s="74"/>
      <c r="V158" s="74"/>
      <c r="W158" s="74"/>
      <c r="X158" s="74"/>
      <c r="Y158" s="74"/>
    </row>
    <row r="159" ht="19.5" customHeight="1">
      <c r="A159" s="170" t="s">
        <v>74</v>
      </c>
      <c r="B159" s="171">
        <f>0+5-1+1+1+1-2-1+2+1+1+1</f>
        <v>9</v>
      </c>
      <c r="C159" s="172">
        <f>0+1-1+1+1+1</f>
        <v>3</v>
      </c>
      <c r="D159" s="171">
        <f>4-1-1-1+1+1+1-1+1-1+1-1+1+1-1+1+1+1-1+1-1-1+1+1+1+1+1-1+1+1</f>
        <v>11</v>
      </c>
      <c r="E159" s="172">
        <f>0+1-1+1-1+1-1+1+1+1</f>
        <v>3</v>
      </c>
      <c r="F159" s="171">
        <f>1+1+1+1-1-1+1+1-1-1+1+1</f>
        <v>4</v>
      </c>
      <c r="G159" s="171">
        <f>2-1+1+1+1+1-1+1</f>
        <v>5</v>
      </c>
      <c r="H159" s="173">
        <f>1-1+1+1</f>
        <v>2</v>
      </c>
      <c r="I159" s="172">
        <f>0+1</f>
        <v>1</v>
      </c>
      <c r="J159" s="172">
        <f>0+1-1+1+1</f>
        <v>2</v>
      </c>
      <c r="K159" s="171">
        <f>0+2+1+1-1+1+1+1</f>
        <v>6</v>
      </c>
      <c r="L159" s="172">
        <f>0+2-1+1+1-2+1+1-1-1+1-1+1-1+1</f>
        <v>2</v>
      </c>
      <c r="M159" s="171">
        <f>0+1-1+1-1+1-1+1+1-1+1-1-1+2-1+1+1-1+2+1+1-1+1</f>
        <v>6</v>
      </c>
      <c r="N159" s="172">
        <f>0+1+2-2+2-1+1-1+1-1-2+1+2-2-1+1+1-1+1-2+2-2+2-1+1+1+1+1</f>
        <v>5</v>
      </c>
      <c r="O159" s="171">
        <f>0+1-1+1+2-1+1-1-1+2-1+1+1-4+4-1+1-1+1+1-1+1+1</f>
        <v>6</v>
      </c>
      <c r="P159" s="172">
        <f>0+1+1-1+1-1+1</f>
        <v>2</v>
      </c>
      <c r="Q159" s="174">
        <f>2-1+1</f>
        <v>2</v>
      </c>
      <c r="R159" s="172">
        <f>0+1</f>
        <v>1</v>
      </c>
      <c r="S159" s="172">
        <f>0+1-1+1</f>
        <v>1</v>
      </c>
      <c r="T159" s="175">
        <f t="shared" ref="T159:T163" si="68">SUM(B159:S159)</f>
        <v>71</v>
      </c>
      <c r="U159" s="74"/>
      <c r="V159" s="74"/>
      <c r="W159" s="74"/>
      <c r="X159" s="74"/>
      <c r="Y159" s="74"/>
    </row>
    <row r="160" ht="24.75" customHeight="1">
      <c r="A160" s="170" t="s">
        <v>14</v>
      </c>
      <c r="B160" s="172">
        <f>0+1-1+1-1+1-1+2-1-1</f>
        <v>0</v>
      </c>
      <c r="C160" s="171">
        <f>0+1-1+1+1-2+3-1+1-3+3-1</f>
        <v>2</v>
      </c>
      <c r="D160" s="172">
        <f>0+2-1+1-1-1+1-1+1+2-1-2+2-1+2-1</f>
        <v>2</v>
      </c>
      <c r="E160" s="171">
        <f>0+1-1+2-1+1-1-1+1+2-1-1+1-1-1+1-1+1+1+2-1-1+1-2+1+2-1+1+1-1+1-1+1-1-1+1+1+1-2+1-2+2-1+1-2+2</f>
        <v>5</v>
      </c>
      <c r="F160" s="172">
        <f>0+2-1+1-1+1+1-1+1+1-3-1+1-1+2-2+2</f>
        <v>2</v>
      </c>
      <c r="G160" s="172">
        <f>0</f>
        <v>0</v>
      </c>
      <c r="H160" s="172">
        <f>0+1-1+1</f>
        <v>1</v>
      </c>
      <c r="I160" s="172">
        <f>0+1-1+2</f>
        <v>2</v>
      </c>
      <c r="J160" s="172">
        <f>0</f>
        <v>0</v>
      </c>
      <c r="K160" s="171">
        <f>0+5-1+1+1-2+2+1-2+2+1-1</f>
        <v>7</v>
      </c>
      <c r="L160" s="172">
        <f>0+4-1-1+1+1-1+1-1+1+1-1+1-1-1+1-2+2-1+1-3-1+1-1+1-1</f>
        <v>0</v>
      </c>
      <c r="M160" s="171">
        <f>0+1-1+1+1-1-1+1-1+1-2+1-1+1-1+1+1-1+1+1+2-1-2+1+2+1-1+1-1+1-4+4-2+2-1+1-1+1-2+2-3+3-1+1+1-1-1+1+1-1-2+2-1</f>
        <v>4</v>
      </c>
      <c r="N160" s="171">
        <f>0+1+1-1-1+1+1-1+1+1-1-1+1+1-1-1-1+1+1+1+1-1-1+1-1+1+1-1+1-2-1+2-1-1-1+1-1+1-1+1+1-1+1-1-1+1-1+3-1+1-1</f>
        <v>2</v>
      </c>
      <c r="O160" s="172">
        <f>0+2-1+1+1-1-2+1-1</f>
        <v>0</v>
      </c>
      <c r="P160" s="171">
        <f>0+1-1+1+4-1+1-1-1-1+1+1+1-2-2+1-2+2-2+2-1+1-1-1+2+2-1+1-1</f>
        <v>3</v>
      </c>
      <c r="Q160" s="171">
        <f>0+4+1-4+1+4-1-2+2+1-1</f>
        <v>5</v>
      </c>
      <c r="R160" s="171">
        <f>6-1+1-1+1-2-1</f>
        <v>3</v>
      </c>
      <c r="S160" s="171">
        <f>0+1+1-1+1-1+2-1</f>
        <v>2</v>
      </c>
      <c r="T160" s="175">
        <f t="shared" si="68"/>
        <v>40</v>
      </c>
      <c r="U160" s="74"/>
      <c r="V160" s="74"/>
      <c r="W160" s="74"/>
      <c r="X160" s="74"/>
      <c r="Y160" s="74"/>
    </row>
    <row r="161" ht="14.25" customHeight="1">
      <c r="A161" s="170" t="s">
        <v>91</v>
      </c>
      <c r="B161" s="171">
        <f>0+3-1+1+1-1+1-1+1+1-1+1-1</f>
        <v>4</v>
      </c>
      <c r="C161" s="171">
        <f>0+1+1-1+1+1-1+1+1+1-1+1-2+2-1+1-2+1-1+1+1-1</f>
        <v>4</v>
      </c>
      <c r="D161" s="171">
        <f>0+2-1+1+1-2+2+2-1+1-1+1+1-2+2-1+1+1-1-1+1+1-1-1</f>
        <v>5</v>
      </c>
      <c r="E161" s="171">
        <f>0+2-1+1+1-1+1+1-1+1+1-1</f>
        <v>4</v>
      </c>
      <c r="F161" s="171">
        <f>0+2-1+1+1-1+1+1-1+1+1-1-1+1+1+2-1+1+1-1+1+1-1</f>
        <v>8</v>
      </c>
      <c r="G161" s="171">
        <f>0+2-1+1+1-1+1+1+1-1-1+1+1-1</f>
        <v>4</v>
      </c>
      <c r="H161" s="172">
        <f t="shared" ref="H161:I161" si="69">0+1-1+1-1+1+1-1</f>
        <v>1</v>
      </c>
      <c r="I161" s="172">
        <f t="shared" si="69"/>
        <v>1</v>
      </c>
      <c r="J161" s="172">
        <f>0+1-1+1+1-1</f>
        <v>1</v>
      </c>
      <c r="K161" s="172">
        <f>0+1-1+1-1+1+1-1+1+1-1</f>
        <v>2</v>
      </c>
      <c r="L161" s="171">
        <f>0+1+1-1+1-1+1-1+1-1-1+1+1+1-1</f>
        <v>2</v>
      </c>
      <c r="M161" s="172">
        <f>0+1-1+1-1+3-1-1+1-1+1-1-1+1+1-1+1-1-1+1+1-1-1</f>
        <v>0</v>
      </c>
      <c r="N161" s="172">
        <f t="shared" ref="N161:N162" si="73">0</f>
        <v>0</v>
      </c>
      <c r="O161" s="172">
        <f>0+1+1-1-1+2-1-1+1-1+1-1</f>
        <v>0</v>
      </c>
      <c r="P161" s="172">
        <f>0+1-1+1-1+1-1</f>
        <v>0</v>
      </c>
      <c r="Q161" s="172">
        <f>0+1-1+2-1+1-1+1-1+1+1</f>
        <v>3</v>
      </c>
      <c r="R161" s="172">
        <f t="shared" ref="R161:S161" si="70">0</f>
        <v>0</v>
      </c>
      <c r="S161" s="172">
        <f t="shared" si="70"/>
        <v>0</v>
      </c>
      <c r="T161" s="175">
        <f t="shared" si="68"/>
        <v>39</v>
      </c>
      <c r="U161" s="74"/>
      <c r="V161" s="74"/>
      <c r="W161" s="74"/>
      <c r="X161" s="74"/>
      <c r="Y161" s="74"/>
    </row>
    <row r="162" ht="14.25" customHeight="1">
      <c r="A162" s="170" t="s">
        <v>35</v>
      </c>
      <c r="B162" s="172">
        <f t="shared" ref="B162:C162" si="71">0</f>
        <v>0</v>
      </c>
      <c r="C162" s="172">
        <f t="shared" si="71"/>
        <v>0</v>
      </c>
      <c r="D162" s="172"/>
      <c r="E162" s="172">
        <f>0+1-1</f>
        <v>0</v>
      </c>
      <c r="F162" s="171">
        <f>0+2+1-1+1+1-1-1+1</f>
        <v>3</v>
      </c>
      <c r="G162" s="172">
        <f t="shared" ref="G162:L162" si="72">0</f>
        <v>0</v>
      </c>
      <c r="H162" s="172">
        <f t="shared" si="72"/>
        <v>0</v>
      </c>
      <c r="I162" s="172">
        <f t="shared" si="72"/>
        <v>0</v>
      </c>
      <c r="J162" s="172">
        <f t="shared" si="72"/>
        <v>0</v>
      </c>
      <c r="K162" s="172">
        <f t="shared" si="72"/>
        <v>0</v>
      </c>
      <c r="L162" s="172">
        <f t="shared" si="72"/>
        <v>0</v>
      </c>
      <c r="M162" s="172">
        <f>0+1-1+1-1+1</f>
        <v>1</v>
      </c>
      <c r="N162" s="172">
        <f t="shared" si="73"/>
        <v>0</v>
      </c>
      <c r="O162" s="172">
        <f t="shared" ref="O162:S162" si="74">0</f>
        <v>0</v>
      </c>
      <c r="P162" s="172">
        <f t="shared" si="74"/>
        <v>0</v>
      </c>
      <c r="Q162" s="172">
        <f t="shared" si="74"/>
        <v>0</v>
      </c>
      <c r="R162" s="172">
        <f t="shared" si="74"/>
        <v>0</v>
      </c>
      <c r="S162" s="172">
        <f t="shared" si="74"/>
        <v>0</v>
      </c>
      <c r="T162" s="175">
        <f t="shared" si="68"/>
        <v>4</v>
      </c>
      <c r="U162" s="74"/>
      <c r="V162" s="74"/>
      <c r="W162" s="74"/>
      <c r="X162" s="74"/>
      <c r="Y162" s="74"/>
    </row>
    <row r="163" ht="14.25" customHeight="1">
      <c r="A163" s="170" t="s">
        <v>27</v>
      </c>
      <c r="B163" s="175">
        <f>0+1</f>
        <v>1</v>
      </c>
      <c r="C163" s="171">
        <f>0+1-1+2-1+1+1</f>
        <v>3</v>
      </c>
      <c r="D163" s="172">
        <f>0+1+1-2+2-2+2-2+1-1+1-1+1-1</f>
        <v>0</v>
      </c>
      <c r="E163" s="171">
        <f>0+1+1+1-2+2+1-1-1+1+1+1-1+1-1</f>
        <v>4</v>
      </c>
      <c r="F163" s="172">
        <f>0+1+1-1+1-1-1+1-1+2</f>
        <v>2</v>
      </c>
      <c r="G163" s="172">
        <f>0+1+1-1-1</f>
        <v>0</v>
      </c>
      <c r="H163" s="172">
        <f>0+1</f>
        <v>1</v>
      </c>
      <c r="I163" s="171">
        <f t="shared" ref="I163:J163" si="75">0+1-1+1+1-1+1+1</f>
        <v>3</v>
      </c>
      <c r="J163" s="171">
        <f t="shared" si="75"/>
        <v>3</v>
      </c>
      <c r="K163" s="172">
        <f t="shared" ref="K163:L163" si="76">0</f>
        <v>0</v>
      </c>
      <c r="L163" s="172">
        <f t="shared" si="76"/>
        <v>0</v>
      </c>
      <c r="M163" s="171">
        <f>0+1+1+1-1+1-1+1-1+1</f>
        <v>3</v>
      </c>
      <c r="N163" s="172">
        <f>0+1-1+1</f>
        <v>1</v>
      </c>
      <c r="O163" s="171">
        <f>0+1-1+1-1+1+1-1+1+1-1+1+1-1</f>
        <v>3</v>
      </c>
      <c r="P163" s="172">
        <f t="shared" ref="P163:S163" si="77">0</f>
        <v>0</v>
      </c>
      <c r="Q163" s="172">
        <f t="shared" si="77"/>
        <v>0</v>
      </c>
      <c r="R163" s="172">
        <f t="shared" si="77"/>
        <v>0</v>
      </c>
      <c r="S163" s="172">
        <f t="shared" si="77"/>
        <v>0</v>
      </c>
      <c r="T163" s="175">
        <f t="shared" si="68"/>
        <v>24</v>
      </c>
      <c r="U163" s="74"/>
      <c r="V163" s="74"/>
      <c r="W163" s="74"/>
      <c r="X163" s="74"/>
      <c r="Y163" s="74"/>
    </row>
    <row r="164" ht="14.25" customHeight="1">
      <c r="A164" s="176"/>
      <c r="B164" s="177"/>
      <c r="C164" s="177"/>
      <c r="D164" s="177"/>
      <c r="E164" s="177"/>
      <c r="F164" s="177"/>
      <c r="G164" s="177"/>
      <c r="H164" s="177"/>
      <c r="I164" s="177"/>
      <c r="J164" s="177"/>
      <c r="K164" s="74"/>
      <c r="L164" s="74"/>
      <c r="M164" s="74"/>
      <c r="N164" s="74"/>
      <c r="O164" s="74"/>
      <c r="P164" s="74"/>
      <c r="Q164" s="74"/>
      <c r="R164" s="74"/>
      <c r="S164" s="74"/>
      <c r="T164" s="178">
        <f>SUM(T159:T163)</f>
        <v>178</v>
      </c>
      <c r="U164" s="74"/>
      <c r="V164" s="75">
        <v>0.0</v>
      </c>
      <c r="W164" s="74"/>
      <c r="X164" s="74"/>
      <c r="Y164" s="74"/>
    </row>
    <row r="165" ht="14.25" customHeight="1">
      <c r="A165" s="176"/>
      <c r="B165" s="177"/>
      <c r="C165" s="177"/>
      <c r="D165" s="177"/>
      <c r="E165" s="177"/>
      <c r="F165" s="177"/>
      <c r="G165" s="177"/>
      <c r="H165" s="177"/>
      <c r="I165" s="177"/>
      <c r="J165" s="177"/>
      <c r="K165" s="179"/>
      <c r="L165" s="74"/>
      <c r="M165" s="74"/>
      <c r="N165" s="74"/>
      <c r="O165" s="74"/>
      <c r="P165" s="74"/>
      <c r="Q165" s="74"/>
      <c r="R165" s="74"/>
      <c r="S165" s="74"/>
      <c r="T165" s="74"/>
      <c r="U165" s="74"/>
      <c r="V165" s="74"/>
      <c r="W165" s="74"/>
      <c r="X165" s="74"/>
      <c r="Y165" s="74"/>
    </row>
    <row r="166" ht="21.0" customHeight="1">
      <c r="A166" s="180" t="s">
        <v>92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70"/>
      <c r="U166" s="74"/>
      <c r="V166" s="74"/>
      <c r="W166" s="74"/>
      <c r="X166" s="74"/>
      <c r="Y166" s="74"/>
    </row>
    <row r="167" ht="14.25" customHeight="1">
      <c r="A167" s="154" t="s">
        <v>93</v>
      </c>
      <c r="B167" s="166" t="s">
        <v>2</v>
      </c>
      <c r="C167" s="54"/>
      <c r="D167" s="54"/>
      <c r="E167" s="54"/>
      <c r="F167" s="54"/>
      <c r="G167" s="54"/>
      <c r="H167" s="54"/>
      <c r="I167" s="54"/>
      <c r="J167" s="70"/>
      <c r="K167" s="166" t="s">
        <v>3</v>
      </c>
      <c r="L167" s="54"/>
      <c r="M167" s="54"/>
      <c r="N167" s="54"/>
      <c r="O167" s="54"/>
      <c r="P167" s="54"/>
      <c r="Q167" s="54"/>
      <c r="R167" s="54"/>
      <c r="S167" s="70"/>
      <c r="T167" s="102"/>
      <c r="U167" s="74"/>
      <c r="V167" s="74"/>
      <c r="W167" s="74"/>
      <c r="X167" s="74"/>
      <c r="Y167" s="74"/>
    </row>
    <row r="168" ht="14.25" customHeight="1">
      <c r="A168" s="154"/>
      <c r="B168" s="168" t="s">
        <v>5</v>
      </c>
      <c r="C168" s="168" t="s">
        <v>49</v>
      </c>
      <c r="D168" s="168" t="s">
        <v>50</v>
      </c>
      <c r="E168" s="168" t="s">
        <v>51</v>
      </c>
      <c r="F168" s="168" t="s">
        <v>52</v>
      </c>
      <c r="G168" s="168" t="s">
        <v>10</v>
      </c>
      <c r="H168" s="168" t="s">
        <v>11</v>
      </c>
      <c r="I168" s="168" t="s">
        <v>12</v>
      </c>
      <c r="J168" s="168" t="s">
        <v>13</v>
      </c>
      <c r="K168" s="169" t="s">
        <v>5</v>
      </c>
      <c r="L168" s="169" t="s">
        <v>49</v>
      </c>
      <c r="M168" s="181" t="s">
        <v>50</v>
      </c>
      <c r="N168" s="169" t="s">
        <v>51</v>
      </c>
      <c r="O168" s="169" t="s">
        <v>52</v>
      </c>
      <c r="P168" s="169" t="s">
        <v>10</v>
      </c>
      <c r="Q168" s="169" t="s">
        <v>11</v>
      </c>
      <c r="R168" s="169" t="s">
        <v>12</v>
      </c>
      <c r="S168" s="169" t="s">
        <v>13</v>
      </c>
      <c r="T168" s="182" t="s">
        <v>53</v>
      </c>
      <c r="U168" s="74"/>
      <c r="V168" s="74"/>
      <c r="W168" s="74"/>
      <c r="X168" s="74"/>
      <c r="Y168" s="74"/>
    </row>
    <row r="169" ht="14.25" customHeight="1">
      <c r="A169" s="154" t="s">
        <v>74</v>
      </c>
      <c r="B169" s="172">
        <f>0+2-2+1-1</f>
        <v>0</v>
      </c>
      <c r="C169" s="172">
        <f>0+5-5+1+1</f>
        <v>2</v>
      </c>
      <c r="D169" s="172">
        <f>0+5-3+1-3+1</f>
        <v>1</v>
      </c>
      <c r="E169" s="172">
        <f>0+1-1+1</f>
        <v>1</v>
      </c>
      <c r="F169" s="172">
        <f>0+3-1-2+1-1+1</f>
        <v>1</v>
      </c>
      <c r="G169" s="172">
        <f>0+2-2+1-1+1-1+1</f>
        <v>1</v>
      </c>
      <c r="H169" s="172">
        <f>0+1-1+1</f>
        <v>1</v>
      </c>
      <c r="I169" s="172">
        <f t="shared" ref="I169:J169" si="78">0+1-1+1+1</f>
        <v>2</v>
      </c>
      <c r="J169" s="172">
        <f t="shared" si="78"/>
        <v>2</v>
      </c>
      <c r="K169" s="172">
        <f>0+1-1+1</f>
        <v>1</v>
      </c>
      <c r="L169" s="172">
        <f>0+2-2+1-1</f>
        <v>0</v>
      </c>
      <c r="M169" s="172">
        <f>0+2-2+1-1</f>
        <v>0</v>
      </c>
      <c r="N169" s="172">
        <f>0+2-1+1-2+1-1+1</f>
        <v>1</v>
      </c>
      <c r="O169" s="172">
        <f>0+3-3+1-1+1-1+1</f>
        <v>1</v>
      </c>
      <c r="P169" s="172">
        <f>0+1</f>
        <v>1</v>
      </c>
      <c r="Q169" s="172">
        <f>0+1-1+1-1+1+1</f>
        <v>2</v>
      </c>
      <c r="R169" s="172">
        <f t="shared" ref="R169:S169" si="79">0+1-1+1+1</f>
        <v>2</v>
      </c>
      <c r="S169" s="172">
        <f t="shared" si="79"/>
        <v>2</v>
      </c>
      <c r="T169" s="183">
        <f t="shared" ref="T169:T170" si="82">SUM(B169:S169)</f>
        <v>21</v>
      </c>
      <c r="U169" s="74"/>
      <c r="V169" s="74"/>
      <c r="W169" s="74"/>
      <c r="X169" s="74"/>
      <c r="Y169" s="74"/>
    </row>
    <row r="170" ht="14.25" customHeight="1">
      <c r="A170" s="154" t="s">
        <v>94</v>
      </c>
      <c r="B170" s="171">
        <f>0+3+6+1-3-1+1</f>
        <v>7</v>
      </c>
      <c r="C170" s="171">
        <f>0+5-1-1+1+1+1</f>
        <v>6</v>
      </c>
      <c r="D170" s="172">
        <f>0+6-3-1-1+1+1-1+1-1-1+1+1+1</f>
        <v>4</v>
      </c>
      <c r="E170" s="171">
        <f>0+4-1+1+1-1+1+1+1</f>
        <v>7</v>
      </c>
      <c r="F170" s="172">
        <f>0+1+1-1-1+1+1+1+1</f>
        <v>4</v>
      </c>
      <c r="G170" s="172">
        <f>0+1+1-1+1+1+1</f>
        <v>4</v>
      </c>
      <c r="H170" s="172">
        <f>0+1+1+1</f>
        <v>3</v>
      </c>
      <c r="I170" s="172">
        <f t="shared" ref="I170:J170" si="80">0</f>
        <v>0</v>
      </c>
      <c r="J170" s="172">
        <f t="shared" si="80"/>
        <v>0</v>
      </c>
      <c r="K170" s="172">
        <f>0+1</f>
        <v>1</v>
      </c>
      <c r="L170" s="172">
        <f>0+1-1+1+1+1</f>
        <v>3</v>
      </c>
      <c r="M170" s="171">
        <f>0+5+3-1+1+1+1-1+1</f>
        <v>10</v>
      </c>
      <c r="N170" s="172">
        <f>0+1-1+1-1+1+1-1-1-1+1+1+1+1-1</f>
        <v>2</v>
      </c>
      <c r="O170" s="171">
        <f>0+3+1-1+1-1+1+1-1+1-1+1-4+3+1+1</f>
        <v>6</v>
      </c>
      <c r="P170" s="171">
        <f>0+3</f>
        <v>3</v>
      </c>
      <c r="Q170" s="172">
        <f>0+2-1</f>
        <v>1</v>
      </c>
      <c r="R170" s="172">
        <f t="shared" ref="R170:S170" si="81">0</f>
        <v>0</v>
      </c>
      <c r="S170" s="172">
        <f t="shared" si="81"/>
        <v>0</v>
      </c>
      <c r="T170" s="183">
        <f t="shared" si="82"/>
        <v>61</v>
      </c>
      <c r="U170" s="74"/>
      <c r="V170" s="74"/>
      <c r="W170" s="74"/>
      <c r="X170" s="74"/>
      <c r="Y170" s="74"/>
    </row>
    <row r="171" ht="14.25" customHeight="1">
      <c r="A171" s="176"/>
      <c r="B171" s="177"/>
      <c r="C171" s="177"/>
      <c r="D171" s="177"/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84">
        <f>SUM(T169:T170)</f>
        <v>82</v>
      </c>
      <c r="U171" s="74"/>
      <c r="V171" s="74"/>
      <c r="W171" s="74"/>
      <c r="X171" s="74"/>
      <c r="Y171" s="74"/>
    </row>
    <row r="172" ht="14.25" customHeight="1">
      <c r="A172" s="176"/>
      <c r="B172" s="177"/>
      <c r="C172" s="177"/>
      <c r="D172" s="177"/>
      <c r="E172" s="177"/>
      <c r="F172" s="177"/>
      <c r="G172" s="177"/>
      <c r="H172" s="177"/>
      <c r="I172" s="177"/>
      <c r="J172" s="177"/>
      <c r="K172" s="185"/>
      <c r="L172" s="74"/>
      <c r="M172" s="74"/>
      <c r="N172" s="74"/>
      <c r="O172" s="74"/>
      <c r="P172" s="74"/>
      <c r="Q172" s="74"/>
      <c r="R172" s="74"/>
      <c r="S172" s="74"/>
      <c r="T172" s="74"/>
      <c r="U172" s="74"/>
      <c r="V172" s="74"/>
      <c r="W172" s="74"/>
      <c r="X172" s="74"/>
      <c r="Y172" s="74"/>
    </row>
    <row r="173" ht="20.25" customHeight="1">
      <c r="A173" s="186" t="s">
        <v>95</v>
      </c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4"/>
      <c r="U173" s="74"/>
      <c r="V173" s="74"/>
      <c r="W173" s="74"/>
      <c r="X173" s="74"/>
      <c r="Y173" s="74"/>
    </row>
    <row r="174" ht="21.0" customHeight="1">
      <c r="A174" s="154" t="s">
        <v>93</v>
      </c>
      <c r="B174" s="166" t="s">
        <v>2</v>
      </c>
      <c r="C174" s="54"/>
      <c r="D174" s="54"/>
      <c r="E174" s="54"/>
      <c r="F174" s="54"/>
      <c r="G174" s="54"/>
      <c r="H174" s="54"/>
      <c r="I174" s="54"/>
      <c r="J174" s="70"/>
      <c r="K174" s="166" t="s">
        <v>3</v>
      </c>
      <c r="L174" s="54"/>
      <c r="M174" s="54"/>
      <c r="N174" s="54"/>
      <c r="O174" s="54"/>
      <c r="P174" s="54"/>
      <c r="Q174" s="54"/>
      <c r="R174" s="54"/>
      <c r="S174" s="70"/>
      <c r="T174" s="102"/>
      <c r="U174" s="74"/>
      <c r="V174" s="74"/>
      <c r="W174" s="74"/>
      <c r="X174" s="74"/>
      <c r="Y174" s="74"/>
    </row>
    <row r="175" ht="14.25" customHeight="1">
      <c r="A175" s="154"/>
      <c r="B175" s="168" t="s">
        <v>5</v>
      </c>
      <c r="C175" s="168" t="s">
        <v>49</v>
      </c>
      <c r="D175" s="168" t="s">
        <v>50</v>
      </c>
      <c r="E175" s="168" t="s">
        <v>51</v>
      </c>
      <c r="F175" s="168" t="s">
        <v>52</v>
      </c>
      <c r="G175" s="168" t="s">
        <v>10</v>
      </c>
      <c r="H175" s="168" t="s">
        <v>11</v>
      </c>
      <c r="I175" s="168" t="s">
        <v>12</v>
      </c>
      <c r="J175" s="168" t="s">
        <v>13</v>
      </c>
      <c r="K175" s="169" t="s">
        <v>5</v>
      </c>
      <c r="L175" s="169" t="s">
        <v>49</v>
      </c>
      <c r="M175" s="169" t="s">
        <v>50</v>
      </c>
      <c r="N175" s="169" t="s">
        <v>51</v>
      </c>
      <c r="O175" s="169" t="s">
        <v>52</v>
      </c>
      <c r="P175" s="169" t="s">
        <v>10</v>
      </c>
      <c r="Q175" s="169" t="s">
        <v>11</v>
      </c>
      <c r="R175" s="169" t="s">
        <v>12</v>
      </c>
      <c r="S175" s="169" t="s">
        <v>13</v>
      </c>
      <c r="T175" s="182" t="s">
        <v>53</v>
      </c>
      <c r="U175" s="74"/>
      <c r="V175" s="74"/>
      <c r="W175" s="74"/>
      <c r="X175" s="74"/>
      <c r="Y175" s="74"/>
    </row>
    <row r="176" ht="14.25" customHeight="1">
      <c r="A176" s="154" t="s">
        <v>74</v>
      </c>
      <c r="B176" s="172">
        <f>1+1-1-1+1-1+1+1-1+1-2+2+1+2-1</f>
        <v>4</v>
      </c>
      <c r="C176" s="171">
        <f>0+1-1+1-1+1+1+1-1+1+1+1</f>
        <v>5</v>
      </c>
      <c r="D176" s="172">
        <f>0+2-1+1-2+1-1+1-1</f>
        <v>0</v>
      </c>
      <c r="E176" s="171">
        <f>0+1-1+1+1-1+1-1+1-1+1+1-1-1+1-1+1+1+1-1-1</f>
        <v>2</v>
      </c>
      <c r="F176" s="171">
        <f>0+2-1+1-1-1+1+2-1+1+2+2+1-2-1-2+1+2+2+1-1</f>
        <v>8</v>
      </c>
      <c r="G176" s="172">
        <f>0+2+1-1-2+2+2-1</f>
        <v>3</v>
      </c>
      <c r="H176" s="171">
        <f>0+2+1-1+2-1</f>
        <v>3</v>
      </c>
      <c r="I176" s="172">
        <f t="shared" ref="I176:J176" si="83">0+1-1</f>
        <v>0</v>
      </c>
      <c r="J176" s="172">
        <f t="shared" si="83"/>
        <v>0</v>
      </c>
      <c r="K176" s="172">
        <f>0+1-1+1+1-1+1+1-1+1+1-1-1-1</f>
        <v>1</v>
      </c>
      <c r="L176" s="171">
        <f>0+6+5-1+5-1-2+2-1+1+1-2-1-2+2+1+1-1</f>
        <v>13</v>
      </c>
      <c r="M176" s="171">
        <f>0+5-1+1-1+1+7-1-2+1+1+2-1+1+2-2-2-1+1-1+1-1-1+1+1+1-1-1+1+1+1+1-2-1+2-1+1-2+2+1-1-2-1</f>
        <v>10</v>
      </c>
      <c r="N176" s="171">
        <f>0+1-1+1-1+1+1-2+2-2+2-2+2-1+1+1-1-1+3+1-1-1+1-1</f>
        <v>3</v>
      </c>
      <c r="O176" s="171">
        <f>0+2-1+1+1-1+1+1-1-1+1+1+6-1+1-1+1+1-1+1-2+2-2-1+2+2+1-1</f>
        <v>12</v>
      </c>
      <c r="P176" s="172">
        <f>0+3-1+1-1+1+1-1+1+1-2-1+2+2-1</f>
        <v>5</v>
      </c>
      <c r="Q176" s="171">
        <f>0+2+1+1-1-1+1-1</f>
        <v>2</v>
      </c>
      <c r="R176" s="172">
        <f t="shared" ref="R176:S176" si="84">0+1-1</f>
        <v>0</v>
      </c>
      <c r="S176" s="172">
        <f t="shared" si="84"/>
        <v>0</v>
      </c>
      <c r="T176" s="184">
        <f t="shared" ref="T176:T180" si="85">SUM(B176:S176)</f>
        <v>71</v>
      </c>
      <c r="U176" s="74"/>
      <c r="V176" s="74"/>
      <c r="W176" s="74"/>
      <c r="X176" s="74"/>
      <c r="Y176" s="74"/>
    </row>
    <row r="177" ht="14.25" customHeight="1">
      <c r="A177" s="154" t="s">
        <v>14</v>
      </c>
      <c r="B177" s="172">
        <f>0+1-1+1+1-1+1-1+1-1+1+1-2-1+1</f>
        <v>1</v>
      </c>
      <c r="C177" s="171">
        <f>0+1-1+1+1-1+1-2+8-1+1-1+1+4-1+1-4+1</f>
        <v>9</v>
      </c>
      <c r="D177" s="171">
        <f>0+1-1+1-1+1-1+1-1+1+1+1-2+1-1-1+1-1+1-1+1-1+5-1+1-1+1+2-1+1-1-2+1+2</f>
        <v>7</v>
      </c>
      <c r="E177" s="171">
        <f>0+1-1+1+1+1-1+1-1+1-1+1+1+2+1+1+1-5-1+1-3+1-1+1-1+1-2+5-1+1-1+1-1+1+1+1</f>
        <v>7</v>
      </c>
      <c r="F177" s="171">
        <f>0+2-2+2-1+1-1+1-2+2+2-1+1-3+1+1-1-1+1-2+5-1+1-1+1-1+1+1+1</f>
        <v>7</v>
      </c>
      <c r="G177" s="171">
        <f>0+4-1+1-1-2+1+1-3+3+1-1+1-1+1-2+3+1</f>
        <v>6</v>
      </c>
      <c r="H177" s="172">
        <f>0+1+2-1-1-1+2-1-1+2+1</f>
        <v>3</v>
      </c>
      <c r="I177" s="172">
        <f>0+1+5-5-1+1-1+1+1-2+1</f>
        <v>1</v>
      </c>
      <c r="J177" s="172">
        <f>0+1-1+1+1-1</f>
        <v>1</v>
      </c>
      <c r="K177" s="171">
        <f>0+1-1+1+1-1-1+1-1+1-1+3-1+1+1</f>
        <v>4</v>
      </c>
      <c r="L177" s="171">
        <f>0+1+1+5+1-1+1-1+2-3+1-1-1+1-4-1-1+1+1-1+1-1+5-1+1-1-4+1-1+1+6+1</f>
        <v>9</v>
      </c>
      <c r="M177" s="171">
        <f>0+1-1+1-1+2+1+3-1-1+1-1-1-1+1+1+3-7+1-1+1-1+1-1+5-1+1-1-2+1-1-1+1+1-1+3+1-1+1-2</f>
        <v>4</v>
      </c>
      <c r="N177" s="171">
        <f>0+1+1-1-1+1+1-1-1+1+1+5-2+1-1+1-4-1-1+5-1+1+1-2-1+1+1+1-1-1+1+1-1+1-1+1+1+2-1</f>
        <v>8</v>
      </c>
      <c r="O177" s="171">
        <f>0+6-1-1+1+3-2-5+1+1+4+1-6-1+1-1+1-1-1+1-1+5-1+1-1-1-1-1+1+1-1+1+3+1</f>
        <v>7</v>
      </c>
      <c r="P177" s="187">
        <f>4+1</f>
        <v>5</v>
      </c>
      <c r="Q177" s="172">
        <f>0+2+1+1-1+2+7+1+1+1-12+1+1-5+2-1+1+2-2+1</f>
        <v>3</v>
      </c>
      <c r="R177" s="172">
        <f>0+1+2+5-6-1+1+1+1+1-5+2-1+1-1-1+1+1+1</f>
        <v>3</v>
      </c>
      <c r="S177" s="172">
        <f>0+2+1+2-2-2-1+2-1+1</f>
        <v>2</v>
      </c>
      <c r="T177" s="184">
        <f t="shared" si="85"/>
        <v>87</v>
      </c>
      <c r="U177" s="74"/>
      <c r="V177" s="74"/>
      <c r="W177" s="74"/>
      <c r="X177" s="74"/>
      <c r="Y177" s="74"/>
    </row>
    <row r="178" ht="14.25" customHeight="1">
      <c r="A178" s="154" t="s">
        <v>15</v>
      </c>
      <c r="B178" s="171">
        <f>0+4-4+3-1+1-1+1</f>
        <v>3</v>
      </c>
      <c r="C178" s="171">
        <f>0+1-1+1+1-2+1+1-1+1+1-3+5-1+1+1</f>
        <v>6</v>
      </c>
      <c r="D178" s="171">
        <f>0+2+1-1-1+1+1-1-1-1+1+1+1+1+1-1+1+1-1-4+5+1-7+5-1+1-1+1-1</f>
        <v>4</v>
      </c>
      <c r="E178" s="171">
        <f>0+2-1+1+1-1-1+1-1+1+1-1+1-3+5-1+1-1+1</f>
        <v>5</v>
      </c>
      <c r="F178" s="171">
        <f>0+1-1+1-1+1-1+1+1-2+5-1+1-1-1+1</f>
        <v>4</v>
      </c>
      <c r="G178" s="172">
        <f>0+3-3+1-1+1-1+2-1+1</f>
        <v>2</v>
      </c>
      <c r="H178" s="172">
        <f>0+1-1+1-1+2-1+1-1+1</f>
        <v>2</v>
      </c>
      <c r="I178" s="172">
        <f>0+1-1+1</f>
        <v>1</v>
      </c>
      <c r="J178" s="172">
        <f>0</f>
        <v>0</v>
      </c>
      <c r="K178" s="172">
        <f>0+2-2+3-1-1</f>
        <v>1</v>
      </c>
      <c r="L178" s="171">
        <f>0+1+1-1+1-1+1+1+1-4+5-1+1-1-1+1</f>
        <v>4</v>
      </c>
      <c r="M178" s="171">
        <f>0+2-1+1+3-1-1+1-1+1+1+1-6+1-1+5+5-1-1+1+1-1+1-1+1-2+2-2+2</f>
        <v>10</v>
      </c>
      <c r="N178" s="172">
        <f>0+1+1-1+1-1+1+1+1-1+1+1+1-1+1-1+1-1-3+3+1-6+1-1+1-1+1</f>
        <v>1</v>
      </c>
      <c r="O178" s="171">
        <f>0+1-1+1-1+1-1+2+1-1-1+1-1+1+1+1-1+1-1-3+1-1+1+1-1+5-1-1+1</f>
        <v>5</v>
      </c>
      <c r="P178" s="171">
        <f>0+7-1-1-1+1+1+1-1-1-5+3-1-1+1+1</f>
        <v>3</v>
      </c>
      <c r="Q178" s="171">
        <f>0+3+1+2-1+1-1+1-1+1-6+3-1+1</f>
        <v>3</v>
      </c>
      <c r="R178" s="172">
        <f>0+1+1-1-1+2</f>
        <v>2</v>
      </c>
      <c r="S178" s="172">
        <f>0+3+1-3+2-3+1</f>
        <v>1</v>
      </c>
      <c r="T178" s="184">
        <f t="shared" si="85"/>
        <v>57</v>
      </c>
      <c r="U178" s="74"/>
      <c r="V178" s="74"/>
      <c r="W178" s="74"/>
      <c r="X178" s="74"/>
      <c r="Y178" s="74"/>
    </row>
    <row r="179" ht="14.25" customHeight="1">
      <c r="A179" s="154" t="s">
        <v>96</v>
      </c>
      <c r="B179" s="172">
        <f>0+1+1-1-1</f>
        <v>0</v>
      </c>
      <c r="C179" s="171">
        <f>0+1-1+3-1+1-1+1+1</f>
        <v>4</v>
      </c>
      <c r="D179" s="171">
        <f>0+1-1+2-1+3+1-1+1-1+1+1-1+4-1-1+1+1+1-2+2</f>
        <v>10</v>
      </c>
      <c r="E179" s="171">
        <f>0+1+1-1-1+1-1+1+1+1-1+1+1+1</f>
        <v>5</v>
      </c>
      <c r="F179" s="172">
        <f>0+1+1-1+1</f>
        <v>2</v>
      </c>
      <c r="G179" s="172">
        <f>0+2+1-1-1</f>
        <v>1</v>
      </c>
      <c r="H179" s="172">
        <f>0+2</f>
        <v>2</v>
      </c>
      <c r="I179" s="172">
        <f t="shared" ref="I179:K179" si="86">0</f>
        <v>0</v>
      </c>
      <c r="J179" s="172">
        <f t="shared" si="86"/>
        <v>0</v>
      </c>
      <c r="K179" s="172">
        <f t="shared" si="86"/>
        <v>0</v>
      </c>
      <c r="L179" s="171">
        <f>0+1-1+1+2+1-1+1+1</f>
        <v>5</v>
      </c>
      <c r="M179" s="171">
        <f>0+2-1+1-2+2+2-2-1+4-1+1-1+1+1</f>
        <v>6</v>
      </c>
      <c r="N179" s="172">
        <f>0+1+1-2+2-1-1+1+1</f>
        <v>2</v>
      </c>
      <c r="O179" s="171">
        <f>0+1-1+1+1-1+1+1-1+1</f>
        <v>3</v>
      </c>
      <c r="P179" s="171">
        <f>0+1+2+1-1-1+1</f>
        <v>3</v>
      </c>
      <c r="Q179" s="172">
        <f>0+1+1-1</f>
        <v>1</v>
      </c>
      <c r="R179" s="172">
        <f t="shared" ref="R179:S179" si="87">0</f>
        <v>0</v>
      </c>
      <c r="S179" s="172">
        <f t="shared" si="87"/>
        <v>0</v>
      </c>
      <c r="T179" s="184">
        <f t="shared" si="85"/>
        <v>44</v>
      </c>
      <c r="U179" s="74"/>
      <c r="V179" s="74"/>
      <c r="W179" s="74"/>
      <c r="X179" s="74"/>
      <c r="Y179" s="74"/>
    </row>
    <row r="180" ht="14.25" customHeight="1">
      <c r="A180" s="154" t="s">
        <v>18</v>
      </c>
      <c r="B180" s="175">
        <f t="shared" ref="B180:C180" si="88">0</f>
        <v>0</v>
      </c>
      <c r="C180" s="175">
        <f t="shared" si="88"/>
        <v>0</v>
      </c>
      <c r="D180" s="188">
        <f>0</f>
        <v>0</v>
      </c>
      <c r="E180" s="171">
        <f>0+2-1+1+1-1+1+1-1-1</f>
        <v>2</v>
      </c>
      <c r="F180" s="175">
        <f>0</f>
        <v>0</v>
      </c>
      <c r="G180" s="175">
        <f>0+1-1+1-1</f>
        <v>0</v>
      </c>
      <c r="H180" s="175">
        <f t="shared" ref="H180:N180" si="89">0</f>
        <v>0</v>
      </c>
      <c r="I180" s="175">
        <f t="shared" si="89"/>
        <v>0</v>
      </c>
      <c r="J180" s="175">
        <f t="shared" si="89"/>
        <v>0</v>
      </c>
      <c r="K180" s="172">
        <f t="shared" si="89"/>
        <v>0</v>
      </c>
      <c r="L180" s="172">
        <f t="shared" si="89"/>
        <v>0</v>
      </c>
      <c r="M180" s="172">
        <f t="shared" si="89"/>
        <v>0</v>
      </c>
      <c r="N180" s="172">
        <f t="shared" si="89"/>
        <v>0</v>
      </c>
      <c r="O180" s="172">
        <f>0+1-1+1</f>
        <v>1</v>
      </c>
      <c r="P180" s="172">
        <f>0+2-1</f>
        <v>1</v>
      </c>
      <c r="Q180" s="172">
        <f>0+1-1</f>
        <v>0</v>
      </c>
      <c r="R180" s="172">
        <f>0+1</f>
        <v>1</v>
      </c>
      <c r="S180" s="172">
        <f>0</f>
        <v>0</v>
      </c>
      <c r="T180" s="189">
        <f t="shared" si="85"/>
        <v>5</v>
      </c>
      <c r="U180" s="74"/>
      <c r="V180" s="74"/>
      <c r="W180" s="74"/>
      <c r="X180" s="74"/>
      <c r="Y180" s="74"/>
    </row>
    <row r="181" ht="14.25" customHeight="1">
      <c r="A181" s="176"/>
      <c r="B181" s="177"/>
      <c r="C181" s="177"/>
      <c r="D181" s="177"/>
      <c r="E181" s="177"/>
      <c r="F181" s="177"/>
      <c r="G181" s="177"/>
      <c r="H181" s="177"/>
      <c r="I181" s="177"/>
      <c r="J181" s="177"/>
      <c r="K181" s="74"/>
      <c r="L181" s="74"/>
      <c r="M181" s="74"/>
      <c r="N181" s="74"/>
      <c r="O181" s="74"/>
      <c r="P181" s="74"/>
      <c r="Q181" s="74"/>
      <c r="R181" s="74"/>
      <c r="S181" s="74"/>
      <c r="T181" s="178">
        <f>SUM(T176:T180)</f>
        <v>264</v>
      </c>
      <c r="U181" s="74"/>
      <c r="V181" s="74"/>
      <c r="W181" s="74"/>
      <c r="X181" s="74"/>
      <c r="Y181" s="74"/>
    </row>
    <row r="182" ht="14.25" customHeight="1">
      <c r="A182" s="176"/>
      <c r="B182" s="177"/>
      <c r="C182" s="177"/>
      <c r="D182" s="177"/>
      <c r="E182" s="177"/>
      <c r="F182" s="190" t="s">
        <v>0</v>
      </c>
      <c r="G182" s="177"/>
      <c r="H182" s="177"/>
      <c r="I182" s="177"/>
      <c r="J182" s="177"/>
      <c r="K182" s="185"/>
      <c r="L182" s="74"/>
      <c r="M182" s="74"/>
      <c r="N182" s="74"/>
      <c r="O182" s="74"/>
      <c r="P182" s="74"/>
      <c r="Q182" s="74"/>
      <c r="R182" s="75" t="s">
        <v>0</v>
      </c>
      <c r="S182" s="74"/>
      <c r="T182" s="74"/>
      <c r="U182" s="74"/>
      <c r="V182" s="74"/>
      <c r="W182" s="74"/>
      <c r="X182" s="74"/>
      <c r="Y182" s="74"/>
    </row>
    <row r="183" ht="21.0" customHeight="1">
      <c r="A183" s="186" t="s">
        <v>97</v>
      </c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4"/>
      <c r="U183" s="74"/>
      <c r="V183" s="74"/>
      <c r="W183" s="75"/>
      <c r="X183" s="74"/>
      <c r="Y183" s="74"/>
    </row>
    <row r="184" ht="21.0" customHeight="1">
      <c r="A184" s="191"/>
      <c r="B184" s="166" t="s">
        <v>2</v>
      </c>
      <c r="C184" s="54"/>
      <c r="D184" s="54"/>
      <c r="E184" s="54"/>
      <c r="F184" s="54"/>
      <c r="G184" s="54"/>
      <c r="H184" s="54"/>
      <c r="I184" s="54"/>
      <c r="J184" s="70"/>
      <c r="K184" s="166" t="s">
        <v>3</v>
      </c>
      <c r="L184" s="54"/>
      <c r="M184" s="54"/>
      <c r="N184" s="54"/>
      <c r="O184" s="54"/>
      <c r="P184" s="54"/>
      <c r="Q184" s="54"/>
      <c r="R184" s="54"/>
      <c r="S184" s="70"/>
      <c r="T184" s="74"/>
      <c r="U184" s="74"/>
      <c r="V184" s="74"/>
      <c r="W184" s="74"/>
      <c r="X184" s="74"/>
      <c r="Y184" s="74"/>
    </row>
    <row r="185" ht="14.25" customHeight="1">
      <c r="A185" s="191"/>
      <c r="B185" s="168" t="s">
        <v>5</v>
      </c>
      <c r="C185" s="168" t="s">
        <v>49</v>
      </c>
      <c r="D185" s="168" t="s">
        <v>50</v>
      </c>
      <c r="E185" s="168" t="s">
        <v>51</v>
      </c>
      <c r="F185" s="168" t="s">
        <v>52</v>
      </c>
      <c r="G185" s="168" t="s">
        <v>10</v>
      </c>
      <c r="H185" s="168" t="s">
        <v>11</v>
      </c>
      <c r="I185" s="168" t="s">
        <v>12</v>
      </c>
      <c r="J185" s="168" t="s">
        <v>13</v>
      </c>
      <c r="K185" s="169" t="s">
        <v>5</v>
      </c>
      <c r="L185" s="169" t="s">
        <v>49</v>
      </c>
      <c r="M185" s="169" t="s">
        <v>50</v>
      </c>
      <c r="N185" s="169" t="s">
        <v>51</v>
      </c>
      <c r="O185" s="169" t="s">
        <v>52</v>
      </c>
      <c r="P185" s="169" t="s">
        <v>10</v>
      </c>
      <c r="Q185" s="169" t="s">
        <v>11</v>
      </c>
      <c r="R185" s="169" t="s">
        <v>12</v>
      </c>
      <c r="S185" s="169" t="s">
        <v>13</v>
      </c>
      <c r="T185" s="182" t="s">
        <v>53</v>
      </c>
      <c r="U185" s="74"/>
      <c r="V185" s="74"/>
      <c r="W185" s="74"/>
      <c r="X185" s="74"/>
      <c r="Y185" s="74"/>
    </row>
    <row r="186" ht="14.25" customHeight="1">
      <c r="A186" s="154" t="s">
        <v>18</v>
      </c>
      <c r="B186" s="172">
        <f>0+2-1</f>
        <v>1</v>
      </c>
      <c r="C186" s="172">
        <f>0+1+1</f>
        <v>2</v>
      </c>
      <c r="D186" s="172">
        <f>0+2-1+1</f>
        <v>2</v>
      </c>
      <c r="E186" s="172">
        <f>0+1+1</f>
        <v>2</v>
      </c>
      <c r="F186" s="172">
        <f>0+1-1+1</f>
        <v>1</v>
      </c>
      <c r="G186" s="172">
        <f>0+1-1+1</f>
        <v>1</v>
      </c>
      <c r="H186" s="172">
        <f>0+1</f>
        <v>1</v>
      </c>
      <c r="I186" s="175">
        <f t="shared" ref="I186:J186" si="90">0</f>
        <v>0</v>
      </c>
      <c r="J186" s="175">
        <f t="shared" si="90"/>
        <v>0</v>
      </c>
      <c r="K186" s="172">
        <f t="shared" ref="K186:L186" si="91">0+2</f>
        <v>2</v>
      </c>
      <c r="L186" s="172">
        <f t="shared" si="91"/>
        <v>2</v>
      </c>
      <c r="M186" s="171">
        <f>0+3+1</f>
        <v>4</v>
      </c>
      <c r="N186" s="171">
        <f>0+2-1+1+1-1+1-1+1</f>
        <v>3</v>
      </c>
      <c r="O186" s="171">
        <f>0+3-1+1-1+1</f>
        <v>3</v>
      </c>
      <c r="P186" s="172">
        <f>0</f>
        <v>0</v>
      </c>
      <c r="Q186" s="172">
        <f>0+1</f>
        <v>1</v>
      </c>
      <c r="R186" s="172">
        <f t="shared" ref="R186:S186" si="92">0</f>
        <v>0</v>
      </c>
      <c r="S186" s="172">
        <f t="shared" si="92"/>
        <v>0</v>
      </c>
      <c r="T186" s="183">
        <f t="shared" ref="T186:T188" si="95">SUM(K186:S186)</f>
        <v>15</v>
      </c>
      <c r="U186" s="74"/>
      <c r="V186" s="74"/>
      <c r="W186" s="74"/>
      <c r="X186" s="74"/>
      <c r="Y186" s="74"/>
    </row>
    <row r="187" ht="14.25" customHeight="1">
      <c r="A187" s="154" t="s">
        <v>29</v>
      </c>
      <c r="B187" s="172">
        <f>0+2</f>
        <v>2</v>
      </c>
      <c r="C187" s="172">
        <f>0+1-1</f>
        <v>0</v>
      </c>
      <c r="D187" s="172">
        <f>1-1</f>
        <v>0</v>
      </c>
      <c r="E187" s="172">
        <f>0+1+1-1</f>
        <v>1</v>
      </c>
      <c r="F187" s="172">
        <f>0+1-1+1-1+1+1-1</f>
        <v>1</v>
      </c>
      <c r="G187" s="172">
        <f>0+1-1</f>
        <v>0</v>
      </c>
      <c r="H187" s="171">
        <f>0+3-1</f>
        <v>2</v>
      </c>
      <c r="I187" s="175">
        <f t="shared" ref="I187:J187" si="93">0</f>
        <v>0</v>
      </c>
      <c r="J187" s="175">
        <f t="shared" si="93"/>
        <v>0</v>
      </c>
      <c r="K187" s="172">
        <f>0+2</f>
        <v>2</v>
      </c>
      <c r="L187" s="171">
        <f>0+3-1+1-1+1-1+1-1</f>
        <v>2</v>
      </c>
      <c r="M187" s="171">
        <f>0+2-1+1+1-1+1-1+1-1-1</f>
        <v>1</v>
      </c>
      <c r="N187" s="172">
        <f>0+1-1+1-1+1-1</f>
        <v>0</v>
      </c>
      <c r="O187" s="171">
        <f>0+3-1+1+1-2+2-1+1-1-1+2-1</f>
        <v>3</v>
      </c>
      <c r="P187" s="171">
        <f>0+6+1-1-1+1</f>
        <v>6</v>
      </c>
      <c r="Q187" s="172">
        <f>0+1-1+1</f>
        <v>1</v>
      </c>
      <c r="R187" s="172">
        <f t="shared" ref="R187:S187" si="94">0</f>
        <v>0</v>
      </c>
      <c r="S187" s="172">
        <f t="shared" si="94"/>
        <v>0</v>
      </c>
      <c r="T187" s="183">
        <f t="shared" si="95"/>
        <v>15</v>
      </c>
      <c r="U187" s="74"/>
      <c r="V187" s="74"/>
      <c r="W187" s="74"/>
      <c r="X187" s="74"/>
      <c r="Y187" s="74"/>
    </row>
    <row r="188" ht="14.25" customHeight="1">
      <c r="A188" s="154" t="s">
        <v>15</v>
      </c>
      <c r="B188" s="172">
        <f>0+1</f>
        <v>1</v>
      </c>
      <c r="C188" s="171">
        <f>0+2+1-1+1-1+1</f>
        <v>3</v>
      </c>
      <c r="D188" s="171">
        <f>0+1-1+1-1+1-1+1-1+1-2+3</f>
        <v>2</v>
      </c>
      <c r="E188" s="171">
        <f>0+1+1-1+1+2+1-1</f>
        <v>4</v>
      </c>
      <c r="F188" s="172">
        <f>0+1+1+1-1+1-1</f>
        <v>2</v>
      </c>
      <c r="G188" s="172">
        <f>0+1</f>
        <v>1</v>
      </c>
      <c r="H188" s="172">
        <f>1</f>
        <v>1</v>
      </c>
      <c r="I188" s="175">
        <f t="shared" ref="I188:J188" si="96">0+1</f>
        <v>1</v>
      </c>
      <c r="J188" s="175">
        <f t="shared" si="96"/>
        <v>1</v>
      </c>
      <c r="K188" s="172">
        <f>0+1+1-1+1+1-2-1</f>
        <v>0</v>
      </c>
      <c r="L188" s="172">
        <f>0+1+1-1-1</f>
        <v>0</v>
      </c>
      <c r="M188" s="172">
        <f>0+4-1+1+1+1-1+1-1-1+1+1-1-5+1-1+1+1-2+1-1+1-1+1</f>
        <v>1</v>
      </c>
      <c r="N188" s="171">
        <f>0+1-1+1+1-1+1-1+1-1+1+1-1+1-3+4-1+1-1-1+1</f>
        <v>3</v>
      </c>
      <c r="O188" s="172">
        <f>0+1+1+1-1-1+1-1+1-1</f>
        <v>1</v>
      </c>
      <c r="P188" s="171">
        <f>0+2+1-1+1-1+1</f>
        <v>3</v>
      </c>
      <c r="Q188" s="172">
        <f>0+2+1-1</f>
        <v>2</v>
      </c>
      <c r="R188" s="172">
        <f t="shared" ref="R188:S188" si="97">0+1-1</f>
        <v>0</v>
      </c>
      <c r="S188" s="172">
        <f t="shared" si="97"/>
        <v>0</v>
      </c>
      <c r="T188" s="183">
        <f t="shared" si="95"/>
        <v>10</v>
      </c>
      <c r="U188" s="74"/>
      <c r="V188" s="74"/>
      <c r="W188" s="74"/>
      <c r="X188" s="74"/>
      <c r="Y188" s="74"/>
    </row>
    <row r="189" ht="23.25" customHeight="1">
      <c r="A189" s="176"/>
      <c r="B189" s="177"/>
      <c r="C189" s="177"/>
      <c r="D189" s="177"/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 t="s">
        <v>0</v>
      </c>
      <c r="R189" s="177"/>
      <c r="S189" s="177"/>
      <c r="T189" s="192">
        <f>SUM(T186:T188)</f>
        <v>40</v>
      </c>
      <c r="U189" s="74"/>
      <c r="V189" s="74"/>
      <c r="W189" s="74"/>
      <c r="X189" s="74"/>
      <c r="Y189" s="74"/>
    </row>
    <row r="190" ht="38.25" customHeight="1">
      <c r="A190" s="176"/>
      <c r="B190" s="177"/>
      <c r="C190" s="177"/>
      <c r="D190" s="177"/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21"/>
      <c r="V190" s="74"/>
      <c r="W190" s="74"/>
      <c r="X190" s="74"/>
      <c r="Y190" s="74"/>
    </row>
    <row r="191" ht="41.25" hidden="1" customHeight="1">
      <c r="A191" s="193" t="s">
        <v>98</v>
      </c>
      <c r="B191" s="194"/>
      <c r="C191" s="194"/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5"/>
      <c r="U191" s="74"/>
      <c r="V191" s="74"/>
      <c r="W191" s="74"/>
      <c r="X191" s="74"/>
      <c r="Y191" s="74"/>
    </row>
    <row r="192" ht="19.5" customHeight="1">
      <c r="A192" s="196"/>
      <c r="B192" s="197"/>
      <c r="C192" s="197"/>
      <c r="D192" s="197"/>
      <c r="E192" s="197"/>
      <c r="F192" s="197"/>
      <c r="G192" s="197"/>
      <c r="H192" s="197"/>
      <c r="I192" s="197"/>
      <c r="J192" s="197"/>
      <c r="K192" s="197"/>
      <c r="L192" s="197"/>
      <c r="M192" s="197"/>
      <c r="N192" s="197"/>
      <c r="O192" s="197"/>
      <c r="P192" s="197"/>
      <c r="Q192" s="197"/>
      <c r="R192" s="197"/>
      <c r="S192" s="197"/>
      <c r="T192" s="198"/>
      <c r="U192" s="74"/>
      <c r="V192" s="74"/>
      <c r="W192" s="74"/>
      <c r="X192" s="74"/>
      <c r="Y192" s="74"/>
    </row>
    <row r="193" ht="21.0" customHeight="1">
      <c r="A193" s="154"/>
      <c r="B193" s="166" t="s">
        <v>2</v>
      </c>
      <c r="C193" s="54"/>
      <c r="D193" s="54"/>
      <c r="E193" s="54"/>
      <c r="F193" s="54"/>
      <c r="G193" s="54"/>
      <c r="H193" s="54"/>
      <c r="I193" s="54"/>
      <c r="J193" s="70"/>
      <c r="K193" s="166" t="s">
        <v>3</v>
      </c>
      <c r="L193" s="54"/>
      <c r="M193" s="54"/>
      <c r="N193" s="54"/>
      <c r="O193" s="54"/>
      <c r="P193" s="54"/>
      <c r="Q193" s="54"/>
      <c r="R193" s="54"/>
      <c r="S193" s="70"/>
      <c r="T193" s="102"/>
      <c r="U193" s="75"/>
      <c r="V193" s="74"/>
      <c r="W193" s="74"/>
      <c r="X193" s="74"/>
      <c r="Y193" s="74"/>
    </row>
    <row r="194" ht="14.25" customHeight="1">
      <c r="A194" s="154"/>
      <c r="B194" s="168" t="s">
        <v>5</v>
      </c>
      <c r="C194" s="168" t="s">
        <v>49</v>
      </c>
      <c r="D194" s="168" t="s">
        <v>50</v>
      </c>
      <c r="E194" s="168" t="s">
        <v>51</v>
      </c>
      <c r="F194" s="168" t="s">
        <v>52</v>
      </c>
      <c r="G194" s="168" t="s">
        <v>10</v>
      </c>
      <c r="H194" s="168" t="s">
        <v>11</v>
      </c>
      <c r="I194" s="168" t="s">
        <v>12</v>
      </c>
      <c r="J194" s="168" t="s">
        <v>13</v>
      </c>
      <c r="K194" s="169" t="s">
        <v>5</v>
      </c>
      <c r="L194" s="169" t="s">
        <v>49</v>
      </c>
      <c r="M194" s="169" t="s">
        <v>50</v>
      </c>
      <c r="N194" s="169" t="s">
        <v>51</v>
      </c>
      <c r="O194" s="169" t="s">
        <v>52</v>
      </c>
      <c r="P194" s="169" t="s">
        <v>10</v>
      </c>
      <c r="Q194" s="169" t="s">
        <v>11</v>
      </c>
      <c r="R194" s="169" t="s">
        <v>12</v>
      </c>
      <c r="S194" s="169" t="s">
        <v>13</v>
      </c>
      <c r="T194" s="182" t="s">
        <v>53</v>
      </c>
      <c r="U194" s="74"/>
      <c r="V194" s="74"/>
      <c r="W194" s="74"/>
      <c r="X194" s="74"/>
      <c r="Y194" s="74"/>
    </row>
    <row r="195" ht="14.25" customHeight="1">
      <c r="A195" s="154" t="s">
        <v>74</v>
      </c>
      <c r="B195" s="172">
        <f>0+2-1+1-1+1+1-1-2+2</f>
        <v>2</v>
      </c>
      <c r="C195" s="171">
        <f>0+4-1+1+9-1+1-12-1+1+1-1+1-1+1+1</f>
        <v>3</v>
      </c>
      <c r="D195" s="172">
        <f>0+8-1+1-1+1+1-1+3-2-8-1+1-1+1-1+1-1</f>
        <v>0</v>
      </c>
      <c r="E195" s="171">
        <f>0+7-1+1-4+4+6-1+1-3+1+2-12-1+1-1+1+1-2+2-1+1-1+1-1+1+1-3+3</f>
        <v>3</v>
      </c>
      <c r="F195" s="171">
        <f>0+1+1-1+1+1-2+1+1-2+2+2-1+1-2+2+2</f>
        <v>7</v>
      </c>
      <c r="G195" s="172">
        <f>0+2+2-1+1+1-1-2</f>
        <v>2</v>
      </c>
      <c r="H195" s="174">
        <f>2-2+2</f>
        <v>2</v>
      </c>
      <c r="I195" s="172">
        <f>0+1</f>
        <v>1</v>
      </c>
      <c r="J195" s="172">
        <f>0</f>
        <v>0</v>
      </c>
      <c r="K195" s="172">
        <f>0+1-1</f>
        <v>0</v>
      </c>
      <c r="L195" s="173">
        <f>0+1-1+1+1-1-1+1-1+1-1+1-1+1</f>
        <v>1</v>
      </c>
      <c r="M195" s="172">
        <f>0+4-4+4-1-1+1-1+1-3+1+2-2-1+1-1+1+1-1-1+1-1+1-1+1-1+1-1</f>
        <v>0</v>
      </c>
      <c r="N195" s="173">
        <f>0+4-2+2-1-1-1-1+1+2-1+3-2-2-1+1-1+1-1+1-1+1-1+1+1-1+1-1-1+1</f>
        <v>1</v>
      </c>
      <c r="O195" s="171">
        <f>0+6-2+2+1+1-1+1-1-1-2-1+1+1+2-1-1+1-1-1+1+1-2+2+1</f>
        <v>7</v>
      </c>
      <c r="P195" s="172">
        <f>0+1-1+1-1+1-1</f>
        <v>0</v>
      </c>
      <c r="Q195" s="171">
        <f>0+4+1-1+1-1+1</f>
        <v>5</v>
      </c>
      <c r="R195" s="172">
        <f>0+1</f>
        <v>1</v>
      </c>
      <c r="S195" s="172">
        <f>0</f>
        <v>0</v>
      </c>
      <c r="T195" s="183">
        <f t="shared" ref="T195:T198" si="101">SUM(B195:S195)</f>
        <v>35</v>
      </c>
      <c r="U195" s="74"/>
      <c r="V195" s="74"/>
      <c r="W195" s="74"/>
      <c r="X195" s="74"/>
      <c r="Y195" s="74"/>
    </row>
    <row r="196" ht="14.25" customHeight="1">
      <c r="A196" s="154" t="s">
        <v>99</v>
      </c>
      <c r="B196" s="171">
        <f>0+2-1+1+1-1+1-1+1-2+2</f>
        <v>3</v>
      </c>
      <c r="C196" s="172">
        <f>0+2-1+1-1+1-2+1+1</f>
        <v>2</v>
      </c>
      <c r="D196" s="172">
        <f>0+3-3+3-1-1-1+1-1+1+2-1-1+1</f>
        <v>2</v>
      </c>
      <c r="E196" s="174">
        <f>1+1</f>
        <v>2</v>
      </c>
      <c r="F196" s="172">
        <f>0+2-1+1-1+1-2+2</f>
        <v>2</v>
      </c>
      <c r="G196" s="172">
        <f>0+1-1+1+1-1</f>
        <v>1</v>
      </c>
      <c r="H196" s="172">
        <f>0+2</f>
        <v>2</v>
      </c>
      <c r="I196" s="172">
        <f t="shared" ref="I196:J196" si="98">0</f>
        <v>0</v>
      </c>
      <c r="J196" s="172">
        <f t="shared" si="98"/>
        <v>0</v>
      </c>
      <c r="K196" s="172">
        <f t="shared" ref="K196:L196" si="99">0+1-1+1</f>
        <v>1</v>
      </c>
      <c r="L196" s="172">
        <f t="shared" si="99"/>
        <v>1</v>
      </c>
      <c r="M196" s="171">
        <f>0+3-1+1+1-1-2+2</f>
        <v>3</v>
      </c>
      <c r="N196" s="172">
        <f>0+1-1+1-1+1-1</f>
        <v>0</v>
      </c>
      <c r="O196" s="171">
        <f>0+2+1-1-2+1+2</f>
        <v>3</v>
      </c>
      <c r="P196" s="172">
        <f>0+1-1+1</f>
        <v>1</v>
      </c>
      <c r="Q196" s="172">
        <f t="shared" ref="Q196:S196" si="100">0</f>
        <v>0</v>
      </c>
      <c r="R196" s="172">
        <f t="shared" si="100"/>
        <v>0</v>
      </c>
      <c r="S196" s="172">
        <f t="shared" si="100"/>
        <v>0</v>
      </c>
      <c r="T196" s="183">
        <f t="shared" si="101"/>
        <v>23</v>
      </c>
      <c r="U196" s="74"/>
      <c r="V196" s="74"/>
      <c r="W196" s="74"/>
      <c r="X196" s="74"/>
      <c r="Y196" s="74"/>
    </row>
    <row r="197" ht="14.25" customHeight="1">
      <c r="A197" s="154" t="s">
        <v>100</v>
      </c>
      <c r="B197" s="172">
        <f>0</f>
        <v>0</v>
      </c>
      <c r="C197" s="171">
        <f>0+3-2+2+1-2+2-1</f>
        <v>3</v>
      </c>
      <c r="D197" s="172">
        <f>0+1-1+1-1+1</f>
        <v>1</v>
      </c>
      <c r="E197" s="171">
        <f>0+4-1+1-1-2+1+2</f>
        <v>4</v>
      </c>
      <c r="F197" s="172">
        <f>0+3-1-2+1+1+1</f>
        <v>3</v>
      </c>
      <c r="G197" s="172">
        <f>0+2-1-1+1+1</f>
        <v>2</v>
      </c>
      <c r="H197" s="172">
        <f>0+2-1+1+1</f>
        <v>3</v>
      </c>
      <c r="I197" s="172">
        <f>0+1-1+1+1</f>
        <v>2</v>
      </c>
      <c r="J197" s="172">
        <f>0+1</f>
        <v>1</v>
      </c>
      <c r="K197" s="172">
        <f>0+2-1+1-1-1+1-1</f>
        <v>0</v>
      </c>
      <c r="L197" s="171">
        <f>0+4-3+3-1-1+1+1+1+1-2+2-1+1</f>
        <v>6</v>
      </c>
      <c r="M197" s="171">
        <f>0+1-1+1-1+1-1+1-1+1-1+1+3-2+1+2</f>
        <v>5</v>
      </c>
      <c r="N197" s="171">
        <f>0+1-1+1-1+1-1+3+2-1-2+1+1-1+1-1</f>
        <v>3</v>
      </c>
      <c r="O197" s="171">
        <f>0+2-1+1-1+1-1+1+1-2+2-1+1-2+2-1+1+1-1+1-1+1</f>
        <v>4</v>
      </c>
      <c r="P197" s="172">
        <f>0+1-1+1+1-1+1</f>
        <v>2</v>
      </c>
      <c r="Q197" s="171">
        <f>0+2+2-1-1+1-3+3+1-1-1+1-1+1+1</f>
        <v>4</v>
      </c>
      <c r="R197" s="172">
        <f>0+1-1+1+1</f>
        <v>2</v>
      </c>
      <c r="S197" s="172">
        <f>0+1-1+1</f>
        <v>1</v>
      </c>
      <c r="T197" s="183">
        <f t="shared" si="101"/>
        <v>46</v>
      </c>
      <c r="U197" s="74"/>
      <c r="V197" s="74"/>
      <c r="W197" s="74"/>
      <c r="X197" s="74"/>
      <c r="Y197" s="74"/>
    </row>
    <row r="198" ht="14.25" customHeight="1">
      <c r="A198" s="154" t="s">
        <v>43</v>
      </c>
      <c r="B198" s="172">
        <f>0+1-1+1-1+1-1+1</f>
        <v>1</v>
      </c>
      <c r="C198" s="172">
        <f>0+1+1-1+1-1+1+1-1+1-2+2-1+1-3+3-2+2-1-2+1+1+1</f>
        <v>3</v>
      </c>
      <c r="D198" s="172">
        <f>0+1+1-1+1-1-1+1-1+1-1+1+1-1+1-1+1-1+1-1+1+1-1+1-1-1+1-1</f>
        <v>1</v>
      </c>
      <c r="E198" s="171">
        <f>0+4+1-1+1+2-1+1-1+1-4+1-1+1-2+2-1+1-1+1-1-1-1-1+3</f>
        <v>3</v>
      </c>
      <c r="F198" s="172">
        <f>0+3-1+1-1-1+1+2-1+1-1+1-1+1-1+1-3-1+1+2+1-3+3-2-1+1</f>
        <v>2</v>
      </c>
      <c r="G198" s="172">
        <f>0+2+1-1+1+1-1+1-1+1-1+1-3+3-3-1+1-1</f>
        <v>0</v>
      </c>
      <c r="H198" s="171">
        <f>0+1-1+1+1-1+1+1-1+1+3-2+1-1</f>
        <v>4</v>
      </c>
      <c r="I198" s="171">
        <f>0+1-1+1+1-1+1+1+1+3-1+1</f>
        <v>7</v>
      </c>
      <c r="J198" s="171">
        <f>0+1+2-1+1</f>
        <v>3</v>
      </c>
      <c r="K198" s="172">
        <f>0+2-1+1-1+1-1+1</f>
        <v>2</v>
      </c>
      <c r="L198" s="172">
        <f>0+1-1+1+1-1+1-1-1+1+1-1+1-2+1-1+1+1</f>
        <v>2</v>
      </c>
      <c r="M198" s="171">
        <f>0+1-1+1-1+5+1+1-1+1-2-1-3+3-1+1-1+1-2+2-2+2-2+2-2+2-1+1-1-1-1-1+1+1+1+1</f>
        <v>4</v>
      </c>
      <c r="N198" s="172">
        <f>1+1-1-1+1-1+1-1+1-1+1-1+1-1+1-1+2-2+1-1</f>
        <v>0</v>
      </c>
      <c r="O198" s="172">
        <f>0+2+1-1+1-1-1+1-1+1-2+1-1+2+1-1+1-1+1-1-1+1-1-1+2</f>
        <v>2</v>
      </c>
      <c r="P198" s="172">
        <f>0+1-1+1-1+1+1-1+1-1-1</f>
        <v>0</v>
      </c>
      <c r="Q198" s="172">
        <f>0</f>
        <v>0</v>
      </c>
      <c r="R198" s="172">
        <f>0+1-1+1+1+1</f>
        <v>3</v>
      </c>
      <c r="S198" s="172">
        <f>0+1-1+1+1-1+1</f>
        <v>2</v>
      </c>
      <c r="T198" s="183">
        <f t="shared" si="101"/>
        <v>39</v>
      </c>
      <c r="U198" s="74"/>
      <c r="V198" s="74"/>
      <c r="W198" s="75"/>
      <c r="X198" s="74"/>
      <c r="Y198" s="74"/>
    </row>
    <row r="199" ht="14.25" customHeight="1">
      <c r="A199" s="176"/>
      <c r="B199" s="177"/>
      <c r="C199" s="199"/>
      <c r="D199" s="177"/>
      <c r="E199" s="177"/>
      <c r="F199" s="190" t="s">
        <v>0</v>
      </c>
      <c r="G199" s="177"/>
      <c r="H199" s="177"/>
      <c r="I199" s="177"/>
      <c r="J199" s="177"/>
      <c r="K199" s="185"/>
      <c r="L199" s="185"/>
      <c r="M199" s="185"/>
      <c r="N199" s="185"/>
      <c r="O199" s="185"/>
      <c r="P199" s="185"/>
      <c r="Q199" s="185"/>
      <c r="R199" s="185"/>
      <c r="S199" s="185"/>
      <c r="T199" s="200">
        <f>SUM(T195:T198)</f>
        <v>143</v>
      </c>
      <c r="U199" s="74"/>
      <c r="V199" s="74"/>
      <c r="W199" s="74"/>
      <c r="X199" s="74"/>
      <c r="Y199" s="74"/>
    </row>
    <row r="200" ht="14.25" customHeight="1">
      <c r="A200" s="201"/>
      <c r="B200" s="201"/>
      <c r="C200" s="201"/>
      <c r="D200" s="201"/>
      <c r="E200" s="201"/>
      <c r="F200" s="201"/>
      <c r="G200" s="201"/>
      <c r="H200" s="201"/>
      <c r="I200" s="201"/>
      <c r="J200" s="201"/>
      <c r="K200" s="185"/>
      <c r="L200" s="74"/>
      <c r="M200" s="74"/>
      <c r="N200" s="74"/>
      <c r="O200" s="74"/>
      <c r="P200" s="74"/>
      <c r="Q200" s="74"/>
      <c r="R200" s="74"/>
      <c r="S200" s="74"/>
      <c r="T200" s="74"/>
      <c r="U200" s="74"/>
      <c r="V200" s="74"/>
      <c r="W200" s="74"/>
      <c r="X200" s="74"/>
      <c r="Y200" s="74"/>
    </row>
    <row r="201" ht="21.0" customHeight="1">
      <c r="A201" s="202" t="s">
        <v>101</v>
      </c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4"/>
      <c r="U201" s="74"/>
      <c r="V201" s="74"/>
      <c r="W201" s="74"/>
      <c r="X201" s="74"/>
      <c r="Y201" s="74"/>
    </row>
    <row r="202" ht="21.0" customHeight="1">
      <c r="A202" s="203"/>
      <c r="B202" s="204" t="s">
        <v>2</v>
      </c>
      <c r="C202" s="54"/>
      <c r="D202" s="54"/>
      <c r="E202" s="54"/>
      <c r="F202" s="54"/>
      <c r="G202" s="54"/>
      <c r="H202" s="54"/>
      <c r="I202" s="54"/>
      <c r="J202" s="70"/>
      <c r="K202" s="204" t="s">
        <v>3</v>
      </c>
      <c r="L202" s="54"/>
      <c r="M202" s="54"/>
      <c r="N202" s="54"/>
      <c r="O202" s="54"/>
      <c r="P202" s="54"/>
      <c r="Q202" s="54"/>
      <c r="R202" s="54"/>
      <c r="S202" s="70"/>
      <c r="T202" s="102"/>
      <c r="U202" s="74"/>
      <c r="V202" s="74"/>
      <c r="W202" s="74"/>
      <c r="X202" s="74"/>
      <c r="Y202" s="74"/>
    </row>
    <row r="203" ht="21.0" customHeight="1">
      <c r="A203" s="205" t="s">
        <v>0</v>
      </c>
      <c r="B203" s="168" t="s">
        <v>5</v>
      </c>
      <c r="C203" s="168" t="s">
        <v>49</v>
      </c>
      <c r="D203" s="206" t="s">
        <v>50</v>
      </c>
      <c r="E203" s="168" t="s">
        <v>51</v>
      </c>
      <c r="F203" s="168" t="s">
        <v>52</v>
      </c>
      <c r="G203" s="168" t="s">
        <v>10</v>
      </c>
      <c r="H203" s="168" t="s">
        <v>11</v>
      </c>
      <c r="I203" s="168" t="s">
        <v>12</v>
      </c>
      <c r="J203" s="168" t="s">
        <v>13</v>
      </c>
      <c r="K203" s="169" t="s">
        <v>5</v>
      </c>
      <c r="L203" s="181" t="s">
        <v>49</v>
      </c>
      <c r="M203" s="169" t="s">
        <v>50</v>
      </c>
      <c r="N203" s="181" t="s">
        <v>51</v>
      </c>
      <c r="O203" s="169" t="s">
        <v>52</v>
      </c>
      <c r="P203" s="169" t="s">
        <v>10</v>
      </c>
      <c r="Q203" s="169" t="s">
        <v>11</v>
      </c>
      <c r="R203" s="169" t="s">
        <v>12</v>
      </c>
      <c r="S203" s="169" t="s">
        <v>13</v>
      </c>
      <c r="T203" s="182" t="s">
        <v>53</v>
      </c>
      <c r="U203" s="74"/>
      <c r="V203" s="74"/>
      <c r="W203" s="74"/>
      <c r="X203" s="74"/>
      <c r="Y203" s="74"/>
    </row>
    <row r="204" ht="24.75" customHeight="1">
      <c r="A204" s="154" t="s">
        <v>74</v>
      </c>
      <c r="B204" s="171">
        <f>13-1+1+1-1+1-1+1-2-2+2+2+1-1+1-3+3-1-2-2-1+1+2-1-1+1-3+1</f>
        <v>9</v>
      </c>
      <c r="C204" s="171">
        <f>21-1-1+1-1+1+1-5+2-1+1-1-1-1-1-2-1-1+5+1+1-1-1+1+1-1+2+1+1-1+3-1-1-2+1+1+1-1-1+1-2+2+1+1+2-1-2-1-1+1+2+1+1-2-1+2-1+1-4-1-4+4+1+4-2-2-1-1</f>
        <v>17</v>
      </c>
      <c r="D204" s="171">
        <f>13+2+1+1-1-1-1-1-1-1+1+1+1+1-1+1+1+1+1-2-1+1-1-1-2-1-3-1+6+1+2-2-1-1+3+1+1+2+1-1+2+1-1-1+1-1-2+1+1+1+1-2-1+1-2+2-1-1+1+2-1+2+1-1-2+1-3-1-1-2+1+2+1+1-1-1-1-1-1+1+1+1-3+1-1-5-1+2-5-1+1+5+3+1+1+5+1-1-1+5-1-2-1-1-4+1</f>
        <v>16</v>
      </c>
      <c r="E204" s="207">
        <f>16+1-1-3-1-1+1+3+2-1+1-5+1-1-3+1-1-1-2-1+5+1-1-1+1+3-1-1+1+1+2+1-1-1+1+1-1+2-1-1+1+1-1+1+1-1+1+1+1+1-2-1+1-1-1+2+1+1-1-1-1-1+1+1+1+1-1-1-2+1-2+1-1+1+2-2-1+2+1-1-4+1</f>
        <v>15</v>
      </c>
      <c r="F204" s="171">
        <f>8+1-2-1+1+2+2-1+1+1-3-1-2+1-2-1+3+2-1+1+2-1+1-1-1+1+1-1-1+1+1-1+1-1-1+1+1+1-1-1-1+1+1-1-1-1-2-1-1+1+1+1+1+2+1-1-3-1+1+1-1+1-1+1+3-2+2+1+1-3-1+3-1-1-3</f>
        <v>7</v>
      </c>
      <c r="G204" s="171">
        <f>23-1-1+1+2-1+1-2-1-1+2+1-1+2+1+1-1+1-2+2-3</f>
        <v>23</v>
      </c>
      <c r="H204" s="171">
        <f>1-1+1+1+1-3+2+3-1-3+1-1</f>
        <v>1</v>
      </c>
      <c r="I204" s="171">
        <f>7</f>
        <v>7</v>
      </c>
      <c r="J204" s="171">
        <f>7-1+1+1-1+1-1+1</f>
        <v>8</v>
      </c>
      <c r="K204" s="187">
        <f>9+1+1+1+1+11-2-1-2+1+2-1+1+2-1+1+1-1-1-1-1-1-1+1+1-1+1+1+1+1-1+1+1+1-2-1-1-2+1+2+2-1-1</f>
        <v>23</v>
      </c>
      <c r="L204" s="171">
        <f>6+1+1+2-1-3+2-2-1+1+3-1+1-1-1-1+1-2+1-1-3-2+2-1-1+1-1+1+1+1+3+3+1-1-2-2-1-1-1-1+1+1+2+2+1+1+1+1+1-1-3-1-1-1+1+3+1-1-2-1-3-1-2+1+1+1+3-1-1+2+2+1-1+1+1-1+1-2-1-1-1-1-1+2-2-3-1-1-2+1+1+1+1+2+3+1-1-1-1-1+1-2-1+1+1+1+2-2+1+1-1-2+1+1+2+2-3-4-1-1-2-2-1+1+1+6-1+3-2-1-1+2+1+1+2-1+1+1+2+1-2-3-1+1-5+3+2-1+1-1+1-1+5-2+1+2-1+1-2-1-1-1-1-1+1-2+1-3+3-2-1+2-1+1+3-2-1+2+2+1-3-1-1-5+1+1+1+1+3+2+1-1-1-1+2+6-1-1+1+1-1-1</f>
        <v>10</v>
      </c>
      <c r="M204" s="171">
        <f>45-2+1-1-2-1+2-3-1-4+4-2+3+1+2+1-1-1-4+2+2-1-1-1+1+4+1-1-1+1-3+3+1+1+1-1-1-1-1-1+1-40+1+1+1-1+40-1-1-1+1+1+2+1-1+1-1-1+1-1+1+1+1-2-2-1-1-2-4-1-1+2+2+1+1-1-2-1+1+4+2-1-1-3+2+1-3-1+1+1+1+1-1-3-6+3+3+1-1-5-2-2+1+3+1+6+2+2+5-1-1+1-2-3-1+1-1+3-1-1+1-3+1-2-2+1+1+3+2-4-1-1+2-2-1+4+1+1+2-1-2+1+2-1-1-1+1+2-1-1-1+1-1-1+1-1-2-1-2+1+1+1+1-21-1-1-3-1-1-1-5+2+1+2+1+1-1-1+21+1+1+1+1+3+1-1-1-1-1-1-1-4+5-1-1-2-1-2-1-3+1+1+1+1+1+1-1-1-1-1+4+1+1-1-1-2-3-1-1+1+1+1+1+3+1+1+2-3-1-6-1-6-2+1+3+1+6+1+3-1-1+1+6+1+2-2-2-1-1+1+1-1-2-3-1-2-3+2+1+1+1-1-6-3+3+1+1+2-3+1+1+2+3-1-1-1+1+1+6-1-7+1+1-1+1-1-2+7+1-1+1-1-1+1+8+1+1-5-1-2-1-1-1-1+1-2+1+1+2+3+5+1+1-4-1+1+1-1-2-2-1+1+4-1-1+3+2+1+2-1-2-1+1+1-1-3-3-1-7-1+3-2+1+2+1+1+1+1+1-1+7-1+2-1-4+1</f>
        <v>37</v>
      </c>
      <c r="N204" s="171">
        <f>24-1-8-1+1+3+1+3+4+1+8-1-4</f>
        <v>30</v>
      </c>
      <c r="O204" s="171">
        <f>22-1-3-1+1+1-2+1+1-1-7-2-1-1+1+1+7+1+1+2-2+1+1+1+1-1+2-1-3-1-8-2+1+1+8+1+3+3-3+2-2-1-1-1+2+1-1-2+1-1-1-3+1-1+1-2+1+1+1+3-2+1-1+1+2+2-1-1-1-1-2-1-1-1-1-1-1+1+1+1+2+1+1+3+1+1+1-1+1+1-5-1-3-2-1+1-1-5-4+3+2-1+5+4+1-3+5+1-1-3+3</f>
        <v>20</v>
      </c>
      <c r="P204" s="207">
        <f>18+1-3-2-3-1+1+3+2+3+1-1-3-1-1+1+1+1+3+1-3-1+1-1+1-2+1-2-1-3+2-1-1+1+3+1-1-1-2+1+1-2+2-3-1+2</f>
        <v>12</v>
      </c>
      <c r="Q204" s="171">
        <f>16-1-1-1+1+1-1+1+1-1-4+4-1+1+1-1+1-1+1-1+1-1-1+1+1+1-1-1+1-3+1-1+3-3</f>
        <v>13</v>
      </c>
      <c r="R204" s="171">
        <f>9+1-1-2+2-1+1-1-1</f>
        <v>7</v>
      </c>
      <c r="S204" s="208">
        <f>5-1+1+1-2-2-2+2-1+2+1+3+1</f>
        <v>8</v>
      </c>
      <c r="T204" s="175">
        <f t="shared" ref="T204:T218" si="102">SUM(B204:S204)</f>
        <v>263</v>
      </c>
      <c r="U204" s="121"/>
      <c r="V204" s="74"/>
      <c r="W204" s="74"/>
      <c r="X204" s="74"/>
      <c r="Y204" s="74"/>
    </row>
    <row r="205" ht="21.0" customHeight="1">
      <c r="A205" s="154" t="s">
        <v>15</v>
      </c>
      <c r="B205" s="171">
        <f>12-1+1-2-1-1+1-1-1+1+2-1+1</f>
        <v>10</v>
      </c>
      <c r="C205" s="171">
        <f>15-1+2+3-1-1+2-1+1+1-1-1-2-1+1-1+1+2+1-1+1-1-2+1+1+2+1-1-1+1+1-1-1+1-1+1+1-2+1-1+2</f>
        <v>21</v>
      </c>
      <c r="D205" s="207">
        <f>17-1+1+5-1+1-2-1-2-3+1+2+2+3-1+1-1-2-1+1-2+2+1+1-2+2-1-1+1+1+1-3-2-2-1+2-1+2+1-1-1+1</f>
        <v>17</v>
      </c>
      <c r="E205" s="187">
        <f>20-1-1-1-1+1+1+1+1-1+1-4+1-2+1+2-1+4+1-1-1</f>
        <v>20</v>
      </c>
      <c r="F205" s="171">
        <f>14-1+1+6+1+1-1-2-1+1+2-1+1+1+1-1-1+1-1+1-1-1+1-1+1+1-1+1-1+1+1+1-4+1+4-1+1-1</f>
        <v>24</v>
      </c>
      <c r="G205" s="171">
        <f>18-1-1+1+2-2-1+1+1+2-1+1-4-1+1+1-1+1-1+1+1-1+1-1+1+1</f>
        <v>19</v>
      </c>
      <c r="H205" s="171">
        <f>8+2-1-1+1+1+1-1-1+1+1+1-1+1-1+1-1-6-1-1+1-1+6+1+1+1</f>
        <v>12</v>
      </c>
      <c r="I205" s="171">
        <f>8+1-1+1-1+1-1+1</f>
        <v>9</v>
      </c>
      <c r="J205" s="171">
        <f>7+1-1+1-1+1+1</f>
        <v>9</v>
      </c>
      <c r="K205" s="207">
        <f>13+1-1+1-12+12-1-1+1-1-2+1+2-2+1+1-4+4-1-1-1+1-1-1-1-3-1+1+1-1+1+3-1+1+1-1+1-2-2-1-1+2-1+1+2+1+1-1+1-2+2-1+1-3-1-1-1+1+3+1+1-1-1+1+1</f>
        <v>10</v>
      </c>
      <c r="L205" s="171">
        <f>16+1-1+4+1-1</f>
        <v>20</v>
      </c>
      <c r="M205" s="187">
        <f>32-1-1+1+1+1+10-1-2-1+1+1+1+2+2+1+1-1-2-1-2-2-1+1+1+2-3+2+2-1-2-2-1-4+1+3+1-1-2+4+2-1+1-1+1+1+2-1+1-4-1+2-1-1+4+1-1-1-9-1+1+1+2+1+1+9+1+1-2+1-1-1-1-2-1-1-1-2+2+1-2+1+2+1+1+2-4-2-3-1-2+2+1+2-1+2-2+2-1+1+1+3-1-1-3+1+2-1</f>
        <v>42</v>
      </c>
      <c r="N205" s="207">
        <f>51-1+1+1-2-1+1+2-4-1+1-4-1+1+4</f>
        <v>48</v>
      </c>
      <c r="O205" s="171">
        <f>7-1-1+1+1+1+1-1-1+1+1+2+1-3-3-1-2+3-1+1+3-2+2-2-3-3-1+3-1-1-1+3+2+3-1-1+1+1+1-4-1+1+4+1-1+1-1-1+15+1+2+1+1-4-1-1+4+1-1-3-1+4+1+3-1-1-1+1+1-1+1-1+1+1+1-3-1-1</f>
        <v>26</v>
      </c>
      <c r="P205" s="207">
        <f>6-1-1+1+1+1+5+1-1-1-1-1-2+3+1+1-2+1+1-1-1-3-1+1-1-1+1+3+1+1+1-1+2+1-1+1-2+2-1-1+1+1+1-1-1-1+1-1+1+1+1-2+1-1-1+2</f>
        <v>14</v>
      </c>
      <c r="Q205" s="171">
        <f>2+1+1+3</f>
        <v>7</v>
      </c>
      <c r="R205" s="207">
        <f>7+2-1+1-2-1+2+1</f>
        <v>9</v>
      </c>
      <c r="S205" s="208">
        <f>1+1+5-1+1+2-1-1-2+1+1</f>
        <v>7</v>
      </c>
      <c r="T205" s="175">
        <f t="shared" si="102"/>
        <v>324</v>
      </c>
      <c r="U205" s="121"/>
      <c r="V205" s="74"/>
      <c r="W205" s="74"/>
      <c r="X205" s="74"/>
      <c r="Y205" s="74"/>
    </row>
    <row r="206">
      <c r="A206" s="154" t="s">
        <v>102</v>
      </c>
      <c r="B206" s="171">
        <f>10-1+1-2-1-1+1-1-1+1+2-1</f>
        <v>7</v>
      </c>
      <c r="C206" s="171">
        <f>9-1-1+1+1+3-1-2-1+1-1+2+1+1+1-1+1-1</f>
        <v>12</v>
      </c>
      <c r="D206" s="171">
        <f>8+1+2-3+1+1-1+3+1-2+3+1-1-4-1-1+4+1-1+1+1+1-1-2+1-1</f>
        <v>12</v>
      </c>
      <c r="E206" s="171">
        <f>23-1+1-1-1+1+1-3-1+1+1+1-1+1-1-1</f>
        <v>20</v>
      </c>
      <c r="F206" s="171">
        <f>8+1-1-1+1-1+1-1+1-1+1-1-1</f>
        <v>6</v>
      </c>
      <c r="G206" s="171">
        <f>15+1-1+1-2+1+1-2-1</f>
        <v>13</v>
      </c>
      <c r="H206" s="187">
        <f>13-2-1+1+1-1-1</f>
        <v>10</v>
      </c>
      <c r="I206" s="171">
        <f>9-1+1-1+1+1-1</f>
        <v>9</v>
      </c>
      <c r="J206" s="207">
        <f>10-1-1</f>
        <v>8</v>
      </c>
      <c r="K206" s="171">
        <f>17+1-1+1+1-2+2-1</f>
        <v>18</v>
      </c>
      <c r="L206" s="171">
        <f>20+1-1</f>
        <v>20</v>
      </c>
      <c r="M206" s="171">
        <f>13+3-1-3+1-1+3-1+1+1-3-1-1+1-1+1-2-1+2+1-1+1-1+4+1-1-1</f>
        <v>14</v>
      </c>
      <c r="N206" s="171">
        <f>19+3-1-1</f>
        <v>20</v>
      </c>
      <c r="O206" s="187">
        <f>10+1-1-1+1+1-1-1+1+1-1-1+1-1+1-1+1-5-1+1+5-1-1</f>
        <v>8</v>
      </c>
      <c r="P206" s="171">
        <f>12-1+1+1-1-1-1+1-1+1+1+1-1+1-1-1</f>
        <v>11</v>
      </c>
      <c r="Q206" s="171">
        <f>7-1-1+1+1-2-1+2+1+1-1+1-1+1-1-1</f>
        <v>6</v>
      </c>
      <c r="R206" s="171">
        <f>9+1-1-1+1+1-1-1</f>
        <v>8</v>
      </c>
      <c r="S206" s="209">
        <f>9-1</f>
        <v>8</v>
      </c>
      <c r="T206" s="175">
        <f t="shared" si="102"/>
        <v>210</v>
      </c>
      <c r="U206" s="121"/>
      <c r="V206" s="74"/>
      <c r="W206" s="74"/>
      <c r="X206" s="74"/>
      <c r="Y206" s="74"/>
    </row>
    <row r="207">
      <c r="A207" s="154" t="s">
        <v>103</v>
      </c>
      <c r="B207" s="171">
        <f>10-1+1+1-1-2+1+2-1-1+1+1</f>
        <v>11</v>
      </c>
      <c r="C207" s="171">
        <f>1+1+1-1-1-1-1+1+1-1+10+1-2-1+2+1+1-1</f>
        <v>11</v>
      </c>
      <c r="D207" s="171">
        <f>12+1+1-2+1-1+1-1-2+1+2+2-1-1+1-1+1+1+1-1-4+1+4-1-1-1-1+1+1-1-2+1-2</f>
        <v>10</v>
      </c>
      <c r="E207" s="171">
        <f>4+1+1-1+1+1+2-2-1-1-1+2+1-1+9+1+1-1-1+1+1-1+1+1-1-4-2-1+1+2-1-1-1+1+6+1-2</f>
        <v>16</v>
      </c>
      <c r="F207" s="171">
        <f>9+1+1+1-1-2+1+2+1-2-1+1+1-1-1-4+1+1+4-1+2+1-1-1+1+1-1-1+1+1</f>
        <v>14</v>
      </c>
      <c r="G207" s="171">
        <f>7+1-1-1-2-1+1-1+2+1+1+1-1+1-1-2-1+1+2+1+1-1-1+1-2+1</f>
        <v>7</v>
      </c>
      <c r="H207" s="171">
        <f>6-1+1+1-2+2-1+1</f>
        <v>7</v>
      </c>
      <c r="I207" s="171">
        <f>9+2-1+1-1+1-1+1-1+1</f>
        <v>11</v>
      </c>
      <c r="J207" s="171">
        <f>7+1+1-1+1-1-1+1</f>
        <v>8</v>
      </c>
      <c r="K207" s="171">
        <f>7+2-1-2+1+2+1-2-1-1+2+1+1-1-1+1-1+1-1+1</f>
        <v>9</v>
      </c>
      <c r="L207" s="171">
        <f>14+1+1-5-1+1+5+1+1-1+4-1-2-1+1+2+1-1-2+1-1+2+1+1-1-1-5+1+5-1-1-2-9+1+1+1+2+9-1-1-2-1+1-1+1+2-1+1</f>
        <v>20</v>
      </c>
      <c r="M207" s="171">
        <f>12+1+1+1-5-1-1-1+1+5-4-2-1-1-1+1+1-1+11+4+1+2-1-1-2-2+1-2+1-3-1+1+2+2+2+1-1+1+3-4+1+4-1+1+1-1-1-12+1+1+12-7-1+1+7-1-1-1+1-2+1+1+2</f>
        <v>26</v>
      </c>
      <c r="N207" s="210">
        <f>20-4+1-1+2+1-5+4+1+5</f>
        <v>24</v>
      </c>
      <c r="O207" s="171">
        <f>11+1+1+3-2-1-1+1+2-1+1+1-1-2-1-1+1+1+2+1-1-3+1-1+3+1+1-1-1-3-1-1-1-3+1+3+1+1-1+3-6-1+1+6-1-1-1+4-2+1+1-3+2-1-1-1+3</f>
        <v>14</v>
      </c>
      <c r="P207" s="171">
        <f>16+1-2+2-1-2-1+1+2+1+1-1-6+6+1-1-1+1+1-1-1+1-1+1+1-2+2</f>
        <v>18</v>
      </c>
      <c r="Q207" s="187">
        <f>2+1+1</f>
        <v>4</v>
      </c>
      <c r="R207" s="171">
        <f>10+1-1-1+1+1</f>
        <v>11</v>
      </c>
      <c r="S207" s="208">
        <f>7+1-1+1</f>
        <v>8</v>
      </c>
      <c r="T207" s="175">
        <f t="shared" si="102"/>
        <v>229</v>
      </c>
      <c r="U207" s="121"/>
      <c r="V207" s="74"/>
      <c r="W207" s="74"/>
      <c r="X207" s="74"/>
      <c r="Y207" s="74"/>
    </row>
    <row r="208">
      <c r="A208" s="154" t="s">
        <v>17</v>
      </c>
      <c r="B208" s="171">
        <f>11+1-1-1+1-1+1-1+1+2</f>
        <v>13</v>
      </c>
      <c r="C208" s="171">
        <f>6+1-1+1-1-1+1+1-1-1-1-2+1-3+1+1+2+3+3+2-1-1+1-1-1-1+1+1+3-4+1+4-1</f>
        <v>13</v>
      </c>
      <c r="D208" s="171">
        <f>21-1-1-1-1+1+1-2-2-2+2+2+2+1-1-1+1-1-2+1-1+1+2+1-1-1-1+10+1+1+1-2-1-1+1+1+2-1</f>
        <v>29</v>
      </c>
      <c r="E208" s="171">
        <f>6-1-1+1-1+1+3+1-1-1-2+1+1+1+2-1+1-1-1-1-1+1+1+1+1-1+1-1-2+1+2</f>
        <v>10</v>
      </c>
      <c r="F208" s="171">
        <f>11+1-2+2-2-1+2-1+1+1-1-1-1-1+5+1+1-1-2-1+1+2-1-2-1+5+2+1+1</f>
        <v>19</v>
      </c>
      <c r="G208" s="171">
        <f>5-1-1-1+1-1-1+1+1+2+1-1-1-1+1+1-2+5-2+2-1+2+1</f>
        <v>10</v>
      </c>
      <c r="H208" s="171">
        <f>2+2-1-3</f>
        <v>0</v>
      </c>
      <c r="I208" s="171">
        <f>4-1-1+1+1-4+4-1</f>
        <v>3</v>
      </c>
      <c r="J208" s="171">
        <f>7+1-1+1</f>
        <v>8</v>
      </c>
      <c r="K208" s="171">
        <f>13+2+1-2-2-1+2+1-2+2-1+1-1+1</f>
        <v>14</v>
      </c>
      <c r="L208" s="187">
        <f>17-1+1+1+1-2+2-1+1+1-1+1-1-2+1+1+2-1-1-1+1-2+1+1-1+1-1-1+1-1+1-1+1+1-1</f>
        <v>18</v>
      </c>
      <c r="M208" s="207">
        <f>21+1+1-2-3+1+1-1-2-2+1+2+2+3-2-3-1-1+3+1+2+1-2+2-3-1-6+3+1+2+6-1-1-1-2-1+1-1+1+1-1+1+1-1+1+1</f>
        <v>23</v>
      </c>
      <c r="N208" s="171">
        <f>5-1-1+1+9-1+1+1-2+1-1-6-2-1+1+6+2-1+1-1+1-2-1+2-1-5-1-4+5+1+1-1+4+1-3-2+1-1+3+1-1+2+1+1-1-1</f>
        <v>11</v>
      </c>
      <c r="O208" s="207">
        <f>15-2+2-1-1-4+4-1+1-1-1-1-1+1+1-2+1+2+1-3-1+1+3-1-1+1+1-1-1-4+1-1+1+1+4-1-1-1+2-1-1+1+1+1+4-2-4+2-1-3-2+1+3+1-3+3-1-1+2+1-1-2-1-1+1+1+1-1-1-1+1-1-1-1+1+1-3-2-1-1</f>
        <v>1</v>
      </c>
      <c r="P208" s="171">
        <f>14-1+3-1-1-2+1+1+2+1-2-1+1-1+2+1-1-1+1-1+1+1+1-1</f>
        <v>17</v>
      </c>
      <c r="Q208" s="171">
        <f>9+2+1-2-1+2-1-1+1+1-2</f>
        <v>9</v>
      </c>
      <c r="R208" s="171">
        <f>6+2-2-1+1+2</f>
        <v>8</v>
      </c>
      <c r="S208" s="208">
        <f>6+1-1+1-1+1</f>
        <v>7</v>
      </c>
      <c r="T208" s="175">
        <f t="shared" si="102"/>
        <v>213</v>
      </c>
      <c r="U208" s="121"/>
      <c r="V208" s="74"/>
      <c r="W208" s="74"/>
      <c r="X208" s="74"/>
      <c r="Y208" s="74"/>
    </row>
    <row r="209" ht="23.25" customHeight="1">
      <c r="A209" s="154" t="s">
        <v>14</v>
      </c>
      <c r="B209" s="171">
        <f>12-1+1-2+1+1+2-2+2-1+1+1-4+4-1-1-1-1-4-2-1+1+4+1+1+2-1-4-1+1+1-2-1+4+1+1+2-2-1</f>
        <v>11</v>
      </c>
      <c r="C209" s="207">
        <f>17+1+2+1-2-1-1-1+2+1-1+2+1+1+1+1-1-2-2-2+1+1-1+2-1+2+2+1+1-1+1-1+1-1-1-1+1+1-1+1-2-2-1+1-1-1-7-1-1-6+5+2-1+1+1-1+1+2+1+6-1-1-2-1+1+1+7+1+1-2+2+1+1-1-1+2-1+4-1+1-1+1-2+1-1+1+2</f>
        <v>32</v>
      </c>
      <c r="D209" s="187">
        <f>8+1+1+1+2+2+1-1-1-1-1+1+2+1+1-3+1+1+1+3-2-3-2-2-2-1-1-2-1+2-1+2+2+3+2+1+2-1+1-1-1+3-1-1-1-1-1+1+1+1+1-2-3+1-1+1+1+2+1+1-1-1-1+1-1-9+1-1-4-1+20-2+1+9-2+1+4-3-1-1+2+2+3+1+1+1-2-1-1+3-1+1-2+1+2+1+1-1-1-1-1-1-1+2+1-1+1-1-1+1-1-2+1+1</f>
        <v>34</v>
      </c>
      <c r="E209" s="171">
        <f>17+1+2-1-2+2-2</f>
        <v>17</v>
      </c>
      <c r="F209" s="207">
        <f>15+1+2-2+1+2-1-1-2-2-2-1+2+1+1+2+1-1-1+1+2-4-1-1-1+4-1+1+1-1+1-1-1-1-1-2-4+5+1+1+1+1-1+1+4-2-1-9+1+1+2-2-1+9+2-4-1+1+2+4+1-4-2+2-1+4+2-1</f>
        <v>22</v>
      </c>
      <c r="G209" s="171">
        <f>10-1-1-1-1-2+2+1-1-2-1-1-1+1+1+1+1-2-2+2+1-1-1-2+8-1+1+2+2+1-1+2+1</f>
        <v>15</v>
      </c>
      <c r="H209" s="171">
        <f>13-1-1+1-1-1-2+1+1+2-1+1+1+1-1-1+1-1+1+1-1+1+1-1-1-1+1+1-2+1+2</f>
        <v>15</v>
      </c>
      <c r="I209" s="171">
        <f>4-1+1-1-2+2+1-1-1+1+1-1-2+1+1+4-2-2</f>
        <v>3</v>
      </c>
      <c r="J209" s="171">
        <f>7-1+2-1+1-1+1</f>
        <v>8</v>
      </c>
      <c r="K209" s="171">
        <f>19+3-1+1+1+1-1-1-1+1-1-1+1-15</f>
        <v>6</v>
      </c>
      <c r="L209" s="171">
        <f>8-1-1+3+2+1-8-1-2-1+1-1+21-1-1-3-1-1-2-1+2-1+1+2+1+3+1-2+1-1-2-1-1+1+2+3-3+2+1+2-2-1-1-1+1+2-1+3-1-1+1+1+1+1-1-1+1+2-1-1+1-2+1+1-1-1+1-1-20+1+2+1</f>
        <v>6</v>
      </c>
      <c r="M209" s="171">
        <f>26-1-1+2+1+1+1+3+2+1+1+1-1+1+4-1-5-1+1+2+1-1-1-1-1-1-1-1+6+1+1+1+1+5+1-2-2-1-1+1+1+1+1+1-2+1-2+1+2+1+1-1-2-1-2-1-1-1-2-1+1+2-6-3+1+1+1-2-1+1+2-2-3+2+1+1+1+2+1+1+1-7+2+3+2+1-1-2+2-1-2-1-4-4-2+6-1+1-1-2-1-1-1+4+1+1+1+1-1-2-1-3-1-1-1-1+7+3+2+1+4+1+1-1-4-1-1-1-12-1-3-1+2+1+1+1-1+3+1+1+4-1+2+1+1+2+1+1+1+12-3-1-1-3-1-1-2-1+2+2+1+1+1-1+1+1+2-1+1+1+1-4+1-1-1+1+3+1+2+3-1-2+1+1+1+1-1-4+1+4+1-1-1-4-2+2-1-4-1+1-2-2-1+4+1+1+1-1-1+2+1+1+4-1-3-2+2-1+1+2-3-40+1+3+1+1+2</f>
        <v>14</v>
      </c>
      <c r="N209" s="171">
        <f>24+2-1-1+1+1+3-1+2+1+1-1+1+2-1-4+1+1-4-1-1-20+1+4</f>
        <v>10</v>
      </c>
      <c r="O209" s="172">
        <f>2-1-1+1+1+2-1-2-1-1+1+1-1+2-2+2-2+3-1+1-1-1-1+3+1-1-2-1+3-3-1+1+1-1+3+4-2-1+1+1-3</f>
        <v>3</v>
      </c>
      <c r="P209" s="171">
        <f>0+2+1-2-1+1-1+1-1+2-1-1+15-2+1-1+2+1-1-1-1+1-1+1+1+1+1-2-1-1-10+2</f>
        <v>5</v>
      </c>
      <c r="Q209" s="171">
        <f>24+1-4</f>
        <v>21</v>
      </c>
      <c r="R209" s="171">
        <f>5-1+1-1-1-1+7+1+2+1-1-2-1-3</f>
        <v>6</v>
      </c>
      <c r="S209" s="208">
        <f>14-1-1+1+1-1-1-1+1+1-1-1</f>
        <v>11</v>
      </c>
      <c r="T209" s="175">
        <f t="shared" si="102"/>
        <v>239</v>
      </c>
      <c r="U209" s="121"/>
      <c r="V209" s="74"/>
      <c r="W209" s="74"/>
      <c r="X209" s="74"/>
      <c r="Y209" s="74"/>
    </row>
    <row r="210">
      <c r="A210" s="154" t="s">
        <v>21</v>
      </c>
      <c r="B210" s="207">
        <f>5+2+1-2-1+1</f>
        <v>6</v>
      </c>
      <c r="C210" s="207">
        <f>14+2-1+1+1-1-1-1+1+1-1-1+1</f>
        <v>15</v>
      </c>
      <c r="D210" s="171">
        <f>8+2-1-1+1+1-4+1-1+4+1+1-1-3+1-1+1-1-1+1-2+1-1+2-1</f>
        <v>7</v>
      </c>
      <c r="E210" s="207">
        <f>14-1+1-1-1+1-1+1+1-1-1-1-1+1+1+1+1-4+1-1+4</f>
        <v>14</v>
      </c>
      <c r="F210" s="171">
        <f>11-1-1+1+1-3-1-1+3+1-1-1-2-1+1+1+1+2+1</f>
        <v>11</v>
      </c>
      <c r="G210" s="171">
        <f>5+1-1+1-1-1+1-1+1+1+2</f>
        <v>8</v>
      </c>
      <c r="H210" s="171">
        <f>12-1-6</f>
        <v>5</v>
      </c>
      <c r="I210" s="171">
        <f>10-1+1</f>
        <v>10</v>
      </c>
      <c r="J210" s="171">
        <f>8-1+1</f>
        <v>8</v>
      </c>
      <c r="K210" s="171">
        <f>5+1-2+2-1-1-1+1+1-3-1-1+1+3+1+1-1-1-1+1-1+1+1</f>
        <v>5</v>
      </c>
      <c r="L210" s="171">
        <f>12-2+1+1+4-2+2+2</f>
        <v>18</v>
      </c>
      <c r="M210" s="187">
        <f>20+2</f>
        <v>22</v>
      </c>
      <c r="N210" s="171">
        <f>20-1-1+2+1-10-1-1-1+1+10-1+1+1+1-3+1-1-1+1-4-2-2-1+1+1+3+1+4-1+2+1+2-1-3-2+1+1-2-1-1+3-1+1+2+1+1-2-1-1+4-9-1+1+1+2+9+1-1-1-1-2-1+1+1+1+2-4+2+1-4+4+4</f>
        <v>28</v>
      </c>
      <c r="O210" s="207">
        <f>12-1-1-1-5-1-2-1+1+1+1+5+2+1-3+1-1-1-2-1+1+1+1+1+2-2-2-1-1+2+1+1-3-2-1+3+2-1+1+2-1+1-1-1+1-1+2-2+1-8+4+1</f>
        <v>5</v>
      </c>
      <c r="P210" s="171">
        <f>5+1+1-2-1+2+1+1-1-2-2-1+2+2-1+1-4-1-1+4+1+1-1-2+1+1-2+2+2</f>
        <v>7</v>
      </c>
      <c r="Q210" s="171">
        <f>1-1+1+5+1+1-1-2+1+2-1-1+1-2</f>
        <v>5</v>
      </c>
      <c r="R210" s="171">
        <f>6+1-1-1+1+1-1+1</f>
        <v>7</v>
      </c>
      <c r="S210" s="211">
        <f>5-1+1-1+1-1+1</f>
        <v>5</v>
      </c>
      <c r="T210" s="175">
        <f t="shared" si="102"/>
        <v>186</v>
      </c>
      <c r="U210" s="121"/>
      <c r="V210" s="74"/>
      <c r="W210" s="74"/>
      <c r="X210" s="74"/>
      <c r="Y210" s="74"/>
    </row>
    <row r="211" ht="21.0" customHeight="1">
      <c r="A211" s="154" t="s">
        <v>104</v>
      </c>
      <c r="B211" s="171">
        <f>3+1+1-1+1-1-1+1</f>
        <v>4</v>
      </c>
      <c r="C211" s="171">
        <f>2+3+1-1-1-1+2+8-1+1-1-2+2-1+1-1+1</f>
        <v>12</v>
      </c>
      <c r="D211" s="171">
        <f>4+5+1-1-1+1+1-1+1-1-1-1+1+1+1-1+1-3+4+3</f>
        <v>14</v>
      </c>
      <c r="E211" s="171">
        <f>1+3+1-1+1-1+1</f>
        <v>5</v>
      </c>
      <c r="F211" s="171">
        <f>3+6+1-1+1-1-1</f>
        <v>8</v>
      </c>
      <c r="G211" s="171">
        <f>8-1-2+2</f>
        <v>7</v>
      </c>
      <c r="H211" s="171">
        <f>2+2-1+5+1-1+1-1+1</f>
        <v>9</v>
      </c>
      <c r="I211" s="171">
        <f>0+1-1+1+2+4</f>
        <v>7</v>
      </c>
      <c r="J211" s="171">
        <f>4+1</f>
        <v>5</v>
      </c>
      <c r="K211" s="171">
        <f>9+3-1-1+1</f>
        <v>11</v>
      </c>
      <c r="L211" s="171">
        <f>15-1+1</f>
        <v>15</v>
      </c>
      <c r="M211" s="207">
        <f>6+1+1+1+10+1-1-1+1+1+1-4+4-1-2</f>
        <v>18</v>
      </c>
      <c r="N211" s="212">
        <f>17-2+2-1</f>
        <v>16</v>
      </c>
      <c r="O211" s="171">
        <f>15-1-1+1+1+1+1-1-2+1+2-3+3-1+1-1-1+1-5+5-1</f>
        <v>15</v>
      </c>
      <c r="P211" s="171">
        <f>8+5-1+1-1-1+1+1-6+6-1+1-2+1+2</f>
        <v>14</v>
      </c>
      <c r="Q211" s="187">
        <f>9</f>
        <v>9</v>
      </c>
      <c r="R211" s="171">
        <f>3+2</f>
        <v>5</v>
      </c>
      <c r="S211" s="208">
        <f>4+1</f>
        <v>5</v>
      </c>
      <c r="T211" s="175">
        <f t="shared" si="102"/>
        <v>179</v>
      </c>
      <c r="U211" s="121"/>
      <c r="V211" s="74"/>
      <c r="W211" s="74"/>
      <c r="X211" s="74"/>
      <c r="Y211" s="74"/>
    </row>
    <row r="212" ht="21.0" customHeight="1">
      <c r="A212" s="154" t="s">
        <v>105</v>
      </c>
      <c r="B212" s="171">
        <f>1+2+1+1-1+1-1-1+1-2-1+5+2+1</f>
        <v>9</v>
      </c>
      <c r="C212" s="171">
        <f>1+1+1+1+1-1-1+1+1-1-1+1-1+1+8-1-1+2+1-1-1+1+1-1-1+1-1+1+1-1</f>
        <v>12</v>
      </c>
      <c r="D212" s="171">
        <f>12-2-1+1+1-2+2-5-1+2+1+5-1-2+15+1-1+1-1-1+1+1-1-2+1+2+1-2+1-2-1+2+2+1-1-2-1+1+1+1-2-1-1-1</f>
        <v>22</v>
      </c>
      <c r="E212" s="171">
        <f>20-1+1+1-1-1+1+1-1+1-1-1+1+1-2-1-1+1+1+2-1+1+1-2+2+2-2</f>
        <v>22</v>
      </c>
      <c r="F212" s="171">
        <f>3+1-4+4+3-1-1+10++1+1-2+1-1+2+1-2+2-1-1-1-1-1+1+1+1-1+1-2+1+1+2</f>
        <v>18</v>
      </c>
      <c r="G212" s="171">
        <f>9-2+1-1+2-1+1-1+1-1-1+1+1</f>
        <v>9</v>
      </c>
      <c r="H212" s="171">
        <f>8+1+1-1-1+1-1+1-1+1-1-1+1+1+1-1</f>
        <v>9</v>
      </c>
      <c r="I212" s="171">
        <f>8+1-1-1+1+1</f>
        <v>9</v>
      </c>
      <c r="J212" s="171">
        <f>8</f>
        <v>8</v>
      </c>
      <c r="K212" s="171">
        <f>23+1+2-1</f>
        <v>25</v>
      </c>
      <c r="L212" s="171">
        <f>20-1+1+1-1+1-2+1-1+2</f>
        <v>21</v>
      </c>
      <c r="M212" s="171">
        <f>6+1+3-10+2+1+15+1-1-1-2-1-1-1-2-1-1-1+1+2-3-1-3-1+1-1+2+1-1+1+1+1+3+1+1+1+3+3+1+1-1-4-3+25-1+3+1+4-3-1+3-1-1+1-1-1-1-1-8-2-1+1+1+1+1+1+8+1-1-1+2+1-2-1-1+1+1-1-1-1-1+1+1-1-1+1-1+1-2+1+1+1+1+1+1+1-1+2-4-1+1</f>
        <v>40</v>
      </c>
      <c r="N212" s="171">
        <f>1+1+1+2-1-1-1+1-1+1+1+1+1+5+1-5-1-1+5-3-1-3-1-1+1+1-1+1+1+3+3+1-1-1-1+30-1+1-1-1+1+1+1-1+1-1+1+1-1-1-1+1+1-1-1+1-1-5-1-1+1+1+1+5+1+1+1-1-1-1-4-1-1+1-3-1-1+4+1+1-4-1+1+1+1+4-3+3+1-1+1+3-1-2-1-1+1-1-5-1</f>
        <v>29</v>
      </c>
      <c r="O212" s="171">
        <f>3-1+1+2-2-1+1+2+1+1-2-1-3-1+1+3-1-3+1-1+1+3-1+20+1-1+1-2-1-4+1+4+2-1-1-1-1+1-1-1+1-1-1-2+1+1+1+1+1+2-2-2-2-3+2-5-3+2+2-1+4+3+3-3+5+1-1+3-1-5-1+1</f>
        <v>20</v>
      </c>
      <c r="P212" s="171">
        <f>18+1-1-1+1-1+1+1-1-1-2+1+1+3+1-1-1-4+1+4+1-2-1+2-2-2-1+1+2+4-1+1+1-1-1+1</f>
        <v>22</v>
      </c>
      <c r="Q212" s="187">
        <f>15</f>
        <v>15</v>
      </c>
      <c r="R212" s="171">
        <f>7-1-1+1+5-1+1-1-1-1+1+1+1-1-1</f>
        <v>9</v>
      </c>
      <c r="S212" s="208">
        <f>8-1+1-1+1+1-1+1-1+1-2+2+1-1</f>
        <v>9</v>
      </c>
      <c r="T212" s="175">
        <f t="shared" si="102"/>
        <v>308</v>
      </c>
      <c r="U212" s="121"/>
      <c r="V212" s="74"/>
      <c r="W212" s="74"/>
      <c r="X212" s="74"/>
      <c r="Y212" s="74"/>
    </row>
    <row r="213">
      <c r="A213" s="154" t="s">
        <v>106</v>
      </c>
      <c r="B213" s="171">
        <f>2-1+5+1+5-5+5</f>
        <v>12</v>
      </c>
      <c r="C213" s="171">
        <f>4+1-2+2-1-1+1-1-1+1+1-1-1+2+1+1-2+2</f>
        <v>6</v>
      </c>
      <c r="D213" s="171">
        <f>21-1-1+1-1+1-2-1+1-1-1+2+1+1+1-18+18-1+1-1+1-1+1+1-4+4</f>
        <v>22</v>
      </c>
      <c r="E213" s="187">
        <f>19-1-1-1+1-1+1+1-2+2</f>
        <v>18</v>
      </c>
      <c r="F213" s="171">
        <f>10-9+9-2+2+1+1-3+3</f>
        <v>12</v>
      </c>
      <c r="G213" s="171">
        <f>0+2-1+1+3-1+1-1+1</f>
        <v>5</v>
      </c>
      <c r="H213" s="171">
        <f>1-1+3+1-2+2</f>
        <v>4</v>
      </c>
      <c r="I213" s="171">
        <f>0+3+1-1</f>
        <v>3</v>
      </c>
      <c r="J213" s="171">
        <f>2-1+2+1</f>
        <v>4</v>
      </c>
      <c r="K213" s="213">
        <f>8+2-1-1+1+1</f>
        <v>10</v>
      </c>
      <c r="L213" s="171">
        <f>16-1-1+1+1-1-1-1+1+2-1-1+1+1+2-1+1-1-3+1+3</f>
        <v>18</v>
      </c>
      <c r="M213" s="207">
        <f>25-2-1-1+1-1-1+1-1-1+1+1+2+1-2-1-1+1-1-9-6+1-1+1+9-2+6+9+2+1+1-1-1-1-1-2+1+1+1+1+1+2-2-3-4-4+4+2+4+3</f>
        <v>33</v>
      </c>
      <c r="N213" s="171">
        <f>20-1-1-1-1+1+1-4+4-1-1-1+1+1-1-1-1-3-4+1+1+1+3-1-1+4+3+1-1-1-1+1+1-1+1+1+1-1-1+1+1+1-1-5-9+1-4+1+4+5+9</f>
        <v>22</v>
      </c>
      <c r="O213" s="171">
        <f>12-3-2-6-1+2+3+6+2</f>
        <v>13</v>
      </c>
      <c r="P213" s="171">
        <f>2-1-1+3+1-3-1+4+5+1-1-1+1+1-5-4+4</f>
        <v>5</v>
      </c>
      <c r="Q213" s="171">
        <f>3-3+3+3-1+1-1-1+1+1-2+2</f>
        <v>6</v>
      </c>
      <c r="R213" s="171">
        <f>5-1+3+1-1+1-3</f>
        <v>5</v>
      </c>
      <c r="S213" s="214">
        <f>1-1+1-1+2-2</f>
        <v>0</v>
      </c>
      <c r="T213" s="175">
        <f t="shared" si="102"/>
        <v>198</v>
      </c>
      <c r="U213" s="121"/>
      <c r="V213" s="74"/>
      <c r="W213" s="74"/>
      <c r="X213" s="74"/>
      <c r="Y213" s="74"/>
    </row>
    <row r="214" ht="19.5" customHeight="1">
      <c r="A214" s="154" t="s">
        <v>27</v>
      </c>
      <c r="B214" s="171">
        <f>2-2+2-1+2-1-1+1-1</f>
        <v>1</v>
      </c>
      <c r="C214" s="171">
        <f>0+3-1-1-1+1+1-2-1+1+1-1+1-1+1-1+5-1+1-2+2-1-1+1</f>
        <v>4</v>
      </c>
      <c r="D214" s="171">
        <f>8-1-1-4-1+1+4+1+2+1-2-1+1-2+2-1+1-1-1</f>
        <v>6</v>
      </c>
      <c r="E214" s="171">
        <f>4-2+2-1-1+1+1-1+1+5-1+1+1-1+2-1+1-1-1</f>
        <v>9</v>
      </c>
      <c r="F214" s="171">
        <f>3+1-1+1-1+1-1+1-1</f>
        <v>3</v>
      </c>
      <c r="G214" s="172">
        <f>2-2+2-1+1-1</f>
        <v>1</v>
      </c>
      <c r="H214" s="172">
        <f>2-1+1+1-1+1-1</f>
        <v>2</v>
      </c>
      <c r="I214" s="172">
        <f>0+1-1+2</f>
        <v>2</v>
      </c>
      <c r="J214" s="172">
        <f>1-1+1</f>
        <v>1</v>
      </c>
      <c r="K214" s="171">
        <f>3</f>
        <v>3</v>
      </c>
      <c r="L214" s="187">
        <v>6.0</v>
      </c>
      <c r="M214" s="171">
        <f>9+1-1+2-2-1+1+2</f>
        <v>11</v>
      </c>
      <c r="N214" s="208">
        <f>12-1+1-1</f>
        <v>11</v>
      </c>
      <c r="O214" s="171">
        <f>7-1</f>
        <v>6</v>
      </c>
      <c r="P214" s="171">
        <f>4+1-1</f>
        <v>4</v>
      </c>
      <c r="Q214" s="171">
        <f>3</f>
        <v>3</v>
      </c>
      <c r="R214" s="172">
        <f>2</f>
        <v>2</v>
      </c>
      <c r="S214" s="172">
        <f>1-1+1-1+1</f>
        <v>1</v>
      </c>
      <c r="T214" s="175">
        <f t="shared" si="102"/>
        <v>76</v>
      </c>
      <c r="U214" s="121"/>
      <c r="V214" s="74"/>
      <c r="W214" s="74"/>
      <c r="X214" s="74"/>
      <c r="Y214" s="74"/>
    </row>
    <row r="215" ht="21.0" customHeight="1">
      <c r="A215" s="154" t="s">
        <v>107</v>
      </c>
      <c r="B215" s="171">
        <f>2+5+1-2-1</f>
        <v>5</v>
      </c>
      <c r="C215" s="171">
        <f>2-1-1+15-1</f>
        <v>14</v>
      </c>
      <c r="D215" s="171">
        <f>0+1-1+1-1+3-1+1-1+1-1+1-1-2+1+2-1-2+2-1-1+10+1+1-1-1-1-1+1+1</f>
        <v>10</v>
      </c>
      <c r="E215" s="171">
        <f>2-1+1+3+10-2-1+3+1</f>
        <v>16</v>
      </c>
      <c r="F215" s="171">
        <f>0+2+1-1+1-1-2+1+2-1+1-1+1-1+1-2-1+1+1+1+2+1+10-2-1-1-1-1+1+5+1-1</f>
        <v>16</v>
      </c>
      <c r="G215" s="171">
        <f>0+2+1-1+1-2+2-1+1-3+4-1+1+5</f>
        <v>9</v>
      </c>
      <c r="H215" s="172">
        <f>2-1+1-2+2</f>
        <v>2</v>
      </c>
      <c r="I215" s="172">
        <f>1-1+1-1+1</f>
        <v>1</v>
      </c>
      <c r="J215" s="172">
        <f>1+-1+1</f>
        <v>1</v>
      </c>
      <c r="K215" s="187">
        <f>13-1+1</f>
        <v>13</v>
      </c>
      <c r="L215" s="208">
        <f>16-1-1+1</f>
        <v>15</v>
      </c>
      <c r="M215" s="171">
        <f>3-2-1+10+3-3+3-1+10-1+1+1-1-2+1-1+1-2-1+1+1+2</f>
        <v>22</v>
      </c>
      <c r="N215" s="215">
        <f>2+1+1+1-1-4+2+1-1-1+1+1+1+1-1+1+1-1+20+1+2-1+1+1+1-1-1-1-1+1+1-5</f>
        <v>23</v>
      </c>
      <c r="O215" s="171">
        <f>0+6-1-1-1+3+1+2+1+2-1-1+1-1-1-5-1</f>
        <v>3</v>
      </c>
      <c r="P215" s="171">
        <f>6-1-1+1+1-1-3+1-1+3+1+1-2-1+2-1-1-4+5-1+1-2+3-2+2+2-1</f>
        <v>7</v>
      </c>
      <c r="Q215" s="171">
        <f>2+1-1+1+3+1-2+2</f>
        <v>7</v>
      </c>
      <c r="R215" s="172">
        <f>1-1+1+1+1-1-1+1-2+2</f>
        <v>2</v>
      </c>
      <c r="S215" s="171">
        <f>1-1+1+1-1+1+2</f>
        <v>4</v>
      </c>
      <c r="T215" s="175">
        <f t="shared" si="102"/>
        <v>170</v>
      </c>
      <c r="U215" s="121"/>
      <c r="V215" s="74"/>
      <c r="W215" s="74"/>
      <c r="X215" s="74"/>
      <c r="Y215" s="74"/>
    </row>
    <row r="216" ht="21.0" customHeight="1">
      <c r="A216" s="216" t="s">
        <v>108</v>
      </c>
      <c r="B216" s="171">
        <f>1-1+1</f>
        <v>1</v>
      </c>
      <c r="C216" s="171">
        <f>1-1+1-1+1</f>
        <v>1</v>
      </c>
      <c r="D216" s="171">
        <f>1-1+1-1+1-1+2-2+2+1-1</f>
        <v>2</v>
      </c>
      <c r="E216" s="172"/>
      <c r="F216" s="172">
        <f>0</f>
        <v>0</v>
      </c>
      <c r="G216" s="172"/>
      <c r="H216" s="172"/>
      <c r="I216" s="172"/>
      <c r="J216" s="172"/>
      <c r="K216" s="172"/>
      <c r="L216" s="217">
        <f>0+1+1</f>
        <v>2</v>
      </c>
      <c r="M216" s="172"/>
      <c r="N216" s="218">
        <f>1-1+1-1+1-1+1-1+1-1+1-1</f>
        <v>0</v>
      </c>
      <c r="O216" s="172"/>
      <c r="P216" s="172"/>
      <c r="Q216" s="172"/>
      <c r="R216" s="172"/>
      <c r="S216" s="172"/>
      <c r="T216" s="219">
        <f t="shared" si="102"/>
        <v>6</v>
      </c>
      <c r="U216" s="121"/>
      <c r="V216" s="74"/>
      <c r="W216" s="74"/>
      <c r="X216" s="74"/>
      <c r="Y216" s="74"/>
    </row>
    <row r="217" ht="21.0" customHeight="1">
      <c r="A217" s="220" t="s">
        <v>109</v>
      </c>
      <c r="B217" s="171">
        <f>2+3</f>
        <v>5</v>
      </c>
      <c r="C217" s="171">
        <f>3-1+1+5-1+1</f>
        <v>8</v>
      </c>
      <c r="D217" s="171">
        <f>4-1+1-1+1+8-1+1-1</f>
        <v>11</v>
      </c>
      <c r="E217" s="171">
        <f>4-1-1+1+1-1+2-2+1</f>
        <v>4</v>
      </c>
      <c r="F217" s="171">
        <f>3+1-1-1+1+1-1</f>
        <v>3</v>
      </c>
      <c r="G217" s="172">
        <f>2</f>
        <v>2</v>
      </c>
      <c r="H217" s="172">
        <f>2-1+1+1</f>
        <v>3</v>
      </c>
      <c r="I217" s="172">
        <f>0+1-1+1</f>
        <v>1</v>
      </c>
      <c r="J217" s="172">
        <f>1</f>
        <v>1</v>
      </c>
      <c r="K217" s="171">
        <f>3+1</f>
        <v>4</v>
      </c>
      <c r="L217" s="171">
        <f>5</f>
        <v>5</v>
      </c>
      <c r="M217" s="171">
        <f>10+1-1+1-1+1+1</f>
        <v>12</v>
      </c>
      <c r="N217" s="208">
        <f>10-7+7-1-1+1-1+1</f>
        <v>9</v>
      </c>
      <c r="O217" s="171">
        <f>8-1-1+1+1-1+1</f>
        <v>8</v>
      </c>
      <c r="P217" s="171">
        <f>6-1+1</f>
        <v>6</v>
      </c>
      <c r="Q217" s="171">
        <f>3</f>
        <v>3</v>
      </c>
      <c r="R217" s="172">
        <f>1-1</f>
        <v>0</v>
      </c>
      <c r="S217" s="171">
        <f>1-1+1-1+1+1+1</f>
        <v>3</v>
      </c>
      <c r="T217" s="219">
        <f t="shared" si="102"/>
        <v>88</v>
      </c>
      <c r="U217" s="121"/>
      <c r="V217" s="74"/>
      <c r="W217" s="74"/>
      <c r="X217" s="74"/>
      <c r="Y217" s="74"/>
    </row>
    <row r="218" ht="21.0" customHeight="1">
      <c r="A218" s="216" t="s">
        <v>35</v>
      </c>
      <c r="B218" s="171">
        <f>2</f>
        <v>2</v>
      </c>
      <c r="C218" s="171">
        <f>3-1-1-1+1+1+1+1-1+1+1</f>
        <v>5</v>
      </c>
      <c r="D218" s="171">
        <f>5-1+1-1+1-1-1+1+1+1</f>
        <v>6</v>
      </c>
      <c r="E218" s="171">
        <f>1+1-1+5+1+1-1</f>
        <v>7</v>
      </c>
      <c r="F218" s="171">
        <f>5+1-1+1-1</f>
        <v>5</v>
      </c>
      <c r="G218" s="171">
        <f>3</f>
        <v>3</v>
      </c>
      <c r="H218" s="174">
        <f>2</f>
        <v>2</v>
      </c>
      <c r="I218" s="172">
        <f t="shared" ref="I218:J218" si="103">1</f>
        <v>1</v>
      </c>
      <c r="J218" s="172">
        <f t="shared" si="103"/>
        <v>1</v>
      </c>
      <c r="K218" s="171">
        <f>5</f>
        <v>5</v>
      </c>
      <c r="L218" s="171">
        <f>10</f>
        <v>10</v>
      </c>
      <c r="M218" s="171">
        <f>15-1+1</f>
        <v>15</v>
      </c>
      <c r="N218" s="171">
        <f>20-1+1-1+1</f>
        <v>20</v>
      </c>
      <c r="O218" s="171">
        <f>20+1+1</f>
        <v>22</v>
      </c>
      <c r="P218" s="171">
        <f>13</f>
        <v>13</v>
      </c>
      <c r="Q218" s="171">
        <f>8</f>
        <v>8</v>
      </c>
      <c r="R218" s="172">
        <f>0+2</f>
        <v>2</v>
      </c>
      <c r="S218" s="172">
        <f>2</f>
        <v>2</v>
      </c>
      <c r="T218" s="175">
        <f t="shared" si="102"/>
        <v>129</v>
      </c>
      <c r="U218" s="221"/>
      <c r="V218" s="74"/>
      <c r="W218" s="74"/>
      <c r="X218" s="74"/>
      <c r="Y218" s="74"/>
    </row>
    <row r="219" ht="21.0" customHeight="1">
      <c r="A219" s="222"/>
      <c r="B219" s="223"/>
      <c r="C219" s="223"/>
      <c r="D219" s="223"/>
      <c r="E219" s="223"/>
      <c r="F219" s="223"/>
      <c r="G219" s="223"/>
      <c r="H219" s="223"/>
      <c r="I219" s="223"/>
      <c r="J219" s="223"/>
      <c r="K219" s="223"/>
      <c r="L219" s="224" t="s">
        <v>0</v>
      </c>
      <c r="M219" s="223"/>
      <c r="N219" s="223"/>
      <c r="O219" s="225"/>
      <c r="P219" s="223"/>
      <c r="Q219" s="223"/>
      <c r="R219" s="223"/>
      <c r="S219" s="223" t="s">
        <v>0</v>
      </c>
      <c r="T219" s="226">
        <f>SUM(T204:T217)</f>
        <v>2689</v>
      </c>
      <c r="U219" s="121"/>
      <c r="V219" s="74"/>
      <c r="W219" s="74"/>
      <c r="X219" s="74"/>
      <c r="Y219" s="74"/>
    </row>
    <row r="220" ht="14.25" customHeight="1">
      <c r="A220" s="201"/>
      <c r="B220" s="201"/>
      <c r="C220" s="201"/>
      <c r="D220" s="201"/>
      <c r="E220" s="201"/>
      <c r="F220" s="201"/>
      <c r="G220" s="201"/>
      <c r="H220" s="201"/>
      <c r="I220" s="201"/>
      <c r="J220" s="201"/>
      <c r="K220" s="185"/>
      <c r="L220" s="74"/>
      <c r="M220" s="74"/>
      <c r="N220" s="74"/>
      <c r="O220" s="74"/>
      <c r="P220" s="74"/>
      <c r="Q220" s="74"/>
      <c r="R220" s="74"/>
      <c r="S220" s="74"/>
      <c r="T220" s="74"/>
      <c r="U220" s="74"/>
      <c r="V220" s="74"/>
      <c r="W220" s="74"/>
      <c r="X220" s="74"/>
      <c r="Y220" s="74"/>
    </row>
    <row r="221" ht="18.75" customHeight="1">
      <c r="A221" s="227" t="s">
        <v>110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4"/>
      <c r="S221" s="54"/>
      <c r="T221" s="70"/>
      <c r="U221" s="74"/>
      <c r="V221" s="74"/>
      <c r="W221" s="74"/>
      <c r="X221" s="74"/>
      <c r="Y221" s="74"/>
    </row>
    <row r="222" ht="20.25" customHeight="1">
      <c r="A222" s="154"/>
      <c r="B222" s="166" t="s">
        <v>2</v>
      </c>
      <c r="C222" s="54"/>
      <c r="D222" s="54"/>
      <c r="E222" s="54"/>
      <c r="F222" s="54"/>
      <c r="G222" s="54"/>
      <c r="H222" s="54"/>
      <c r="I222" s="54"/>
      <c r="J222" s="70"/>
      <c r="K222" s="204" t="s">
        <v>3</v>
      </c>
      <c r="L222" s="54"/>
      <c r="M222" s="54"/>
      <c r="N222" s="54"/>
      <c r="O222" s="54"/>
      <c r="P222" s="54"/>
      <c r="Q222" s="54"/>
      <c r="R222" s="54"/>
      <c r="S222" s="70"/>
      <c r="T222" s="102"/>
      <c r="U222" s="74"/>
      <c r="V222" s="74"/>
      <c r="W222" s="74"/>
      <c r="X222" s="74"/>
      <c r="Y222" s="74"/>
    </row>
    <row r="223" ht="14.25" customHeight="1">
      <c r="A223" s="154"/>
      <c r="B223" s="168" t="s">
        <v>5</v>
      </c>
      <c r="C223" s="168" t="s">
        <v>49</v>
      </c>
      <c r="D223" s="206" t="s">
        <v>50</v>
      </c>
      <c r="E223" s="168" t="s">
        <v>51</v>
      </c>
      <c r="F223" s="168" t="s">
        <v>52</v>
      </c>
      <c r="G223" s="168" t="s">
        <v>10</v>
      </c>
      <c r="H223" s="168" t="s">
        <v>11</v>
      </c>
      <c r="I223" s="168" t="s">
        <v>12</v>
      </c>
      <c r="J223" s="168" t="s">
        <v>13</v>
      </c>
      <c r="K223" s="169" t="s">
        <v>5</v>
      </c>
      <c r="L223" s="181" t="s">
        <v>49</v>
      </c>
      <c r="M223" s="181" t="s">
        <v>50</v>
      </c>
      <c r="N223" s="169" t="s">
        <v>51</v>
      </c>
      <c r="O223" s="181" t="s">
        <v>52</v>
      </c>
      <c r="P223" s="169" t="s">
        <v>10</v>
      </c>
      <c r="Q223" s="169" t="s">
        <v>11</v>
      </c>
      <c r="R223" s="169" t="s">
        <v>12</v>
      </c>
      <c r="S223" s="169" t="s">
        <v>13</v>
      </c>
      <c r="T223" s="182" t="s">
        <v>53</v>
      </c>
      <c r="U223" s="74"/>
      <c r="V223" s="74"/>
      <c r="W223" s="74"/>
      <c r="X223" s="74"/>
      <c r="Y223" s="74"/>
    </row>
    <row r="224" ht="14.25" customHeight="1">
      <c r="A224" s="154" t="s">
        <v>111</v>
      </c>
      <c r="B224" s="175">
        <f>0+1-1+1</f>
        <v>1</v>
      </c>
      <c r="C224" s="175">
        <f>0+1</f>
        <v>1</v>
      </c>
      <c r="D224" s="175">
        <f>0+1-1+1-1+1</f>
        <v>1</v>
      </c>
      <c r="E224" s="175">
        <f>1-1+1</f>
        <v>1</v>
      </c>
      <c r="F224" s="175">
        <f>1-1+1-1+1</f>
        <v>1</v>
      </c>
      <c r="G224" s="175">
        <f>0+1</f>
        <v>1</v>
      </c>
      <c r="H224" s="175">
        <f>1</f>
        <v>1</v>
      </c>
      <c r="I224" s="175">
        <f t="shared" ref="I224:J224" si="104">0</f>
        <v>0</v>
      </c>
      <c r="J224" s="175">
        <f t="shared" si="104"/>
        <v>0</v>
      </c>
      <c r="K224" s="175">
        <f>0+1+1-1+1</f>
        <v>2</v>
      </c>
      <c r="L224" s="175">
        <f>0+1-1+3-1-2+2-1+1-1+1-1+1-2</f>
        <v>0</v>
      </c>
      <c r="M224" s="171">
        <f>0+1+2-2+2+2-1-1+1+1-1-1+1+1-2+2-1+1-1-1+1-1+1-4+4+1-1+1-1+1</f>
        <v>5</v>
      </c>
      <c r="N224" s="175">
        <f>0+1+1-2+1-1</f>
        <v>0</v>
      </c>
      <c r="O224" s="175">
        <f>0+1-1+1-1+1-1+1-1+1+1-1-1+1-1+1-1</f>
        <v>0</v>
      </c>
      <c r="P224" s="175">
        <f>0+2-1+1-2+2-1+1-1-1</f>
        <v>0</v>
      </c>
      <c r="Q224" s="175">
        <f>0+1+1</f>
        <v>2</v>
      </c>
      <c r="R224" s="175">
        <f>0+1</f>
        <v>1</v>
      </c>
      <c r="S224" s="175">
        <f>0</f>
        <v>0</v>
      </c>
      <c r="T224" s="228">
        <f>SUM(K224:S224)</f>
        <v>10</v>
      </c>
      <c r="U224" s="74"/>
      <c r="V224" s="74"/>
      <c r="W224" s="74"/>
      <c r="X224" s="74"/>
      <c r="Y224" s="74"/>
    </row>
    <row r="225" ht="14.25" customHeight="1">
      <c r="A225" s="176"/>
      <c r="B225" s="177"/>
      <c r="C225" s="177"/>
      <c r="D225" s="177"/>
      <c r="E225" s="177"/>
      <c r="F225" s="177"/>
      <c r="G225" s="177"/>
      <c r="H225" s="177"/>
      <c r="I225" s="177"/>
      <c r="J225" s="177"/>
      <c r="K225" s="185"/>
      <c r="L225" s="74"/>
      <c r="M225" s="74"/>
      <c r="N225" s="74"/>
      <c r="O225" s="74"/>
      <c r="P225" s="74"/>
      <c r="Q225" s="74"/>
      <c r="R225" s="74"/>
      <c r="S225" s="74"/>
      <c r="T225" s="229">
        <f>SUM(T224)</f>
        <v>10</v>
      </c>
      <c r="U225" s="74"/>
      <c r="V225" s="74"/>
      <c r="W225" s="74"/>
      <c r="X225" s="74"/>
      <c r="Y225" s="74"/>
    </row>
    <row r="226" ht="14.25" customHeight="1">
      <c r="A226" s="201"/>
      <c r="B226" s="201"/>
      <c r="C226" s="201"/>
      <c r="D226" s="201"/>
      <c r="E226" s="201"/>
      <c r="F226" s="201"/>
      <c r="G226" s="201"/>
      <c r="H226" s="201"/>
      <c r="I226" s="201"/>
      <c r="J226" s="201"/>
      <c r="K226" s="185"/>
      <c r="L226" s="74"/>
      <c r="M226" s="74"/>
      <c r="N226" s="74"/>
      <c r="O226" s="74"/>
      <c r="P226" s="74"/>
      <c r="Q226" s="74"/>
      <c r="R226" s="74"/>
      <c r="S226" s="74"/>
      <c r="T226" s="74"/>
      <c r="U226" s="74"/>
      <c r="V226" s="74"/>
      <c r="W226" s="74"/>
      <c r="X226" s="74"/>
      <c r="Y226" s="74"/>
    </row>
    <row r="227" ht="14.25" customHeight="1">
      <c r="A227" s="201"/>
      <c r="B227" s="201"/>
      <c r="C227" s="201"/>
      <c r="D227" s="201"/>
      <c r="E227" s="201"/>
      <c r="F227" s="201"/>
      <c r="G227" s="201"/>
      <c r="H227" s="201"/>
      <c r="I227" s="201"/>
      <c r="J227" s="201"/>
      <c r="K227" s="185"/>
      <c r="L227" s="74"/>
      <c r="M227" s="74"/>
      <c r="N227" s="74"/>
      <c r="O227" s="74"/>
      <c r="P227" s="74"/>
      <c r="Q227" s="74"/>
      <c r="R227" s="74"/>
      <c r="S227" s="74"/>
      <c r="T227" s="74"/>
      <c r="U227" s="74"/>
      <c r="V227" s="74"/>
      <c r="W227" s="74"/>
      <c r="X227" s="74"/>
      <c r="Y227" s="74"/>
    </row>
    <row r="228" ht="21.75" customHeight="1">
      <c r="A228" s="230" t="s">
        <v>112</v>
      </c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4"/>
      <c r="T228" s="74"/>
      <c r="U228" s="74"/>
      <c r="V228" s="74"/>
      <c r="W228" s="74"/>
      <c r="X228" s="74"/>
      <c r="Y228" s="74"/>
    </row>
    <row r="229" ht="21.0" customHeight="1">
      <c r="A229" s="165"/>
      <c r="B229" s="166" t="s">
        <v>2</v>
      </c>
      <c r="C229" s="54"/>
      <c r="D229" s="54"/>
      <c r="E229" s="54"/>
      <c r="F229" s="54"/>
      <c r="G229" s="54"/>
      <c r="H229" s="54"/>
      <c r="I229" s="70"/>
      <c r="J229" s="204" t="s">
        <v>3</v>
      </c>
      <c r="K229" s="54"/>
      <c r="L229" s="54"/>
      <c r="M229" s="54"/>
      <c r="N229" s="54"/>
      <c r="O229" s="54"/>
      <c r="P229" s="54"/>
      <c r="Q229" s="54"/>
      <c r="R229" s="70"/>
      <c r="S229" s="74"/>
      <c r="T229" s="74"/>
      <c r="U229" s="74"/>
      <c r="V229" s="74"/>
      <c r="W229" s="74"/>
      <c r="X229" s="74"/>
      <c r="Y229" s="74"/>
    </row>
    <row r="230" ht="14.25" customHeight="1">
      <c r="A230" s="231" t="s">
        <v>113</v>
      </c>
      <c r="B230" s="232">
        <v>5.0</v>
      </c>
      <c r="C230" s="232">
        <v>7.0</v>
      </c>
      <c r="D230" s="232">
        <v>9.0</v>
      </c>
      <c r="E230" s="232">
        <v>11.0</v>
      </c>
      <c r="F230" s="232">
        <v>13.0</v>
      </c>
      <c r="G230" s="232">
        <v>15.0</v>
      </c>
      <c r="H230" s="232">
        <v>17.0</v>
      </c>
      <c r="I230" s="232">
        <v>19.0</v>
      </c>
      <c r="J230" s="233">
        <v>28.0</v>
      </c>
      <c r="K230" s="233">
        <v>30.0</v>
      </c>
      <c r="L230" s="233">
        <v>32.0</v>
      </c>
      <c r="M230" s="233">
        <v>34.0</v>
      </c>
      <c r="N230" s="233">
        <v>36.0</v>
      </c>
      <c r="O230" s="234">
        <v>38.0</v>
      </c>
      <c r="P230" s="233">
        <v>40.0</v>
      </c>
      <c r="Q230" s="233">
        <v>42.0</v>
      </c>
      <c r="R230" s="233">
        <v>44.0</v>
      </c>
      <c r="S230" s="235" t="s">
        <v>53</v>
      </c>
      <c r="T230" s="74"/>
      <c r="U230" s="74"/>
      <c r="V230" s="74"/>
      <c r="W230" s="74"/>
      <c r="X230" s="74"/>
      <c r="Y230" s="74"/>
    </row>
    <row r="231" ht="14.25" customHeight="1">
      <c r="A231" s="236"/>
      <c r="B231" s="175">
        <f>19+1</f>
        <v>20</v>
      </c>
      <c r="C231" s="175">
        <f>5+17</f>
        <v>22</v>
      </c>
      <c r="D231" s="175">
        <f>0+12-1-1+1</f>
        <v>11</v>
      </c>
      <c r="E231" s="175">
        <f>0+6</f>
        <v>6</v>
      </c>
      <c r="F231" s="175">
        <f>5+5-3</f>
        <v>7</v>
      </c>
      <c r="G231" s="175">
        <f>4+3-2</f>
        <v>5</v>
      </c>
      <c r="H231" s="175"/>
      <c r="I231" s="175"/>
      <c r="J231" s="175">
        <f>1+8-2+2</f>
        <v>9</v>
      </c>
      <c r="K231" s="175">
        <f>0+21-1-2+2+1-6-1+1+6-2+2-1+1-1+1-3</f>
        <v>18</v>
      </c>
      <c r="L231" s="175">
        <f>1+19-1+1-1+1-1-2-6+4-1+1</f>
        <v>15</v>
      </c>
      <c r="M231" s="175">
        <f>0+17-6+6-6+11-2-1+2+1-1+1</f>
        <v>22</v>
      </c>
      <c r="N231" s="175">
        <f>11-1-1+1-1+1-6+7-3</f>
        <v>8</v>
      </c>
      <c r="O231" s="175">
        <f>9+1-1+1</f>
        <v>10</v>
      </c>
      <c r="P231" s="175">
        <f>5-1+1</f>
        <v>5</v>
      </c>
      <c r="Q231" s="175"/>
      <c r="R231" s="175"/>
      <c r="S231" s="228">
        <f>SUM(J231:R231)</f>
        <v>87</v>
      </c>
      <c r="T231" s="74"/>
      <c r="U231" s="74"/>
      <c r="V231" s="74"/>
      <c r="W231" s="74"/>
      <c r="X231" s="74"/>
      <c r="Y231" s="74"/>
    </row>
    <row r="232" ht="14.25" customHeight="1">
      <c r="A232" s="176"/>
      <c r="B232" s="177"/>
      <c r="C232" s="177"/>
      <c r="D232" s="177"/>
      <c r="E232" s="177"/>
      <c r="F232" s="177"/>
      <c r="G232" s="199"/>
      <c r="H232" s="177"/>
      <c r="I232" s="177"/>
      <c r="J232" s="177"/>
      <c r="K232" s="185"/>
      <c r="L232" s="74"/>
      <c r="M232" s="74"/>
      <c r="N232" s="74"/>
      <c r="O232" s="74"/>
      <c r="P232" s="74"/>
      <c r="Q232" s="74"/>
      <c r="R232" s="74"/>
      <c r="S232" s="85">
        <f>SUM(S231)</f>
        <v>87</v>
      </c>
      <c r="T232" s="74"/>
      <c r="U232" s="74"/>
      <c r="V232" s="74"/>
      <c r="W232" s="74"/>
      <c r="X232" s="74"/>
      <c r="Y232" s="74"/>
    </row>
    <row r="233" ht="14.25" customHeight="1">
      <c r="A233" s="201"/>
      <c r="B233" s="201"/>
      <c r="C233" s="201"/>
      <c r="D233" s="201"/>
      <c r="E233" s="201"/>
      <c r="F233" s="201"/>
      <c r="G233" s="201"/>
      <c r="H233" s="201"/>
      <c r="I233" s="201"/>
      <c r="J233" s="201"/>
      <c r="K233" s="185"/>
      <c r="L233" s="74"/>
      <c r="M233" s="74"/>
      <c r="N233" s="74"/>
      <c r="O233" s="74"/>
      <c r="P233" s="74"/>
      <c r="Q233" s="74"/>
      <c r="R233" s="74"/>
      <c r="S233" s="74"/>
      <c r="T233" s="74"/>
      <c r="U233" s="74"/>
      <c r="V233" s="74"/>
      <c r="W233" s="74"/>
      <c r="X233" s="74"/>
      <c r="Y233" s="74"/>
    </row>
    <row r="234" ht="19.5" customHeight="1">
      <c r="A234" s="237" t="s">
        <v>77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70"/>
      <c r="L234" s="74"/>
      <c r="M234" s="74"/>
      <c r="N234" s="74"/>
      <c r="O234" s="74"/>
      <c r="P234" s="74"/>
      <c r="Q234" s="74"/>
      <c r="R234" s="74"/>
      <c r="S234" s="74"/>
      <c r="T234" s="74"/>
      <c r="U234" s="74"/>
      <c r="V234" s="74"/>
      <c r="W234" s="74"/>
      <c r="X234" s="74"/>
      <c r="Y234" s="74"/>
    </row>
    <row r="235" ht="21.0" customHeight="1">
      <c r="A235" s="238" t="s">
        <v>114</v>
      </c>
      <c r="B235" s="204" t="s">
        <v>115</v>
      </c>
      <c r="C235" s="54"/>
      <c r="D235" s="54"/>
      <c r="E235" s="54"/>
      <c r="F235" s="54"/>
      <c r="G235" s="54"/>
      <c r="H235" s="54"/>
      <c r="I235" s="54"/>
      <c r="J235" s="70"/>
      <c r="K235" s="183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4"/>
    </row>
    <row r="236" ht="14.25" customHeight="1">
      <c r="A236" s="239"/>
      <c r="B236" s="240" t="s">
        <v>5</v>
      </c>
      <c r="C236" s="240" t="s">
        <v>49</v>
      </c>
      <c r="D236" s="240" t="s">
        <v>50</v>
      </c>
      <c r="E236" s="240" t="s">
        <v>51</v>
      </c>
      <c r="F236" s="240" t="s">
        <v>52</v>
      </c>
      <c r="G236" s="240" t="s">
        <v>10</v>
      </c>
      <c r="H236" s="240" t="s">
        <v>11</v>
      </c>
      <c r="I236" s="240" t="s">
        <v>12</v>
      </c>
      <c r="J236" s="240" t="s">
        <v>13</v>
      </c>
      <c r="K236" s="182" t="s">
        <v>53</v>
      </c>
      <c r="L236" s="74"/>
      <c r="M236" s="74"/>
      <c r="N236" s="74"/>
      <c r="O236" s="74"/>
      <c r="P236" s="74"/>
      <c r="Q236" s="74"/>
      <c r="R236" s="74"/>
      <c r="S236" s="74"/>
      <c r="T236" s="74"/>
      <c r="U236" s="74"/>
      <c r="V236" s="74"/>
      <c r="W236" s="74"/>
      <c r="X236" s="74"/>
      <c r="Y236" s="74"/>
    </row>
    <row r="237" ht="14.25" customHeight="1">
      <c r="A237" s="241"/>
      <c r="B237" s="175">
        <f>0</f>
        <v>0</v>
      </c>
      <c r="C237" s="175">
        <f>0+2+1-2+2-1+1+1-1+1</f>
        <v>4</v>
      </c>
      <c r="D237" s="175">
        <f>0+1-1</f>
        <v>0</v>
      </c>
      <c r="E237" s="175">
        <f>0+1+1-2+1-1+1-1+1+1-2+1+2-1+1-2+2</f>
        <v>3</v>
      </c>
      <c r="F237" s="175">
        <f>0+1-1+1+1-1-1+1-1+1-1+2</f>
        <v>2</v>
      </c>
      <c r="G237" s="175">
        <f>0+1-1+1-1+1</f>
        <v>1</v>
      </c>
      <c r="H237" s="175">
        <f>0+1-1+1</f>
        <v>1</v>
      </c>
      <c r="I237" s="175">
        <f>0+3</f>
        <v>3</v>
      </c>
      <c r="J237" s="175">
        <f>0</f>
        <v>0</v>
      </c>
      <c r="K237" s="183">
        <f>SUM(B237:J237)</f>
        <v>14</v>
      </c>
      <c r="L237" s="74"/>
      <c r="M237" s="74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</row>
    <row r="238" ht="14.25" customHeight="1">
      <c r="A238" s="176"/>
      <c r="B238" s="177"/>
      <c r="C238" s="177"/>
      <c r="D238" s="177"/>
      <c r="E238" s="177"/>
      <c r="F238" s="177"/>
      <c r="G238" s="177"/>
      <c r="H238" s="177"/>
      <c r="I238" s="177"/>
      <c r="J238" s="177" t="s">
        <v>45</v>
      </c>
      <c r="K238" s="192">
        <f>SUM(K237)</f>
        <v>14</v>
      </c>
      <c r="L238" s="74"/>
      <c r="M238" s="74"/>
      <c r="N238" s="74"/>
      <c r="O238" s="74"/>
      <c r="P238" s="74"/>
      <c r="Q238" s="74"/>
      <c r="R238" s="74"/>
      <c r="S238" s="74"/>
      <c r="T238" s="74"/>
      <c r="U238" s="74"/>
      <c r="V238" s="74"/>
      <c r="W238" s="74"/>
      <c r="X238" s="74"/>
      <c r="Y238" s="74"/>
    </row>
    <row r="239" ht="14.25" customHeight="1">
      <c r="A239" s="201"/>
      <c r="B239" s="201"/>
      <c r="C239" s="201"/>
      <c r="D239" s="201"/>
      <c r="E239" s="201"/>
      <c r="F239" s="201"/>
      <c r="G239" s="201"/>
      <c r="H239" s="201"/>
      <c r="I239" s="201"/>
      <c r="J239" s="201"/>
      <c r="K239" s="185"/>
      <c r="L239" s="74"/>
      <c r="M239" s="74"/>
      <c r="N239" s="74"/>
      <c r="O239" s="74"/>
      <c r="P239" s="74"/>
      <c r="Q239" s="74"/>
      <c r="R239" s="74"/>
      <c r="S239" s="74"/>
      <c r="T239" s="74"/>
      <c r="U239" s="74"/>
      <c r="V239" s="74"/>
      <c r="W239" s="74"/>
      <c r="X239" s="74"/>
      <c r="Y239" s="74"/>
    </row>
    <row r="240" ht="18.75" customHeight="1">
      <c r="A240" s="242" t="s">
        <v>116</v>
      </c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4"/>
      <c r="T240" s="74"/>
      <c r="U240" s="74"/>
      <c r="V240" s="74"/>
      <c r="W240" s="74"/>
      <c r="X240" s="74"/>
      <c r="Y240" s="74"/>
    </row>
    <row r="241" ht="14.25" customHeight="1">
      <c r="A241" s="191"/>
      <c r="B241" s="166" t="s">
        <v>117</v>
      </c>
      <c r="C241" s="54"/>
      <c r="D241" s="54"/>
      <c r="E241" s="54"/>
      <c r="F241" s="54"/>
      <c r="G241" s="54"/>
      <c r="H241" s="54"/>
      <c r="I241" s="54"/>
      <c r="J241" s="70"/>
      <c r="K241" s="243" t="s">
        <v>118</v>
      </c>
      <c r="L241" s="244"/>
      <c r="M241" s="244"/>
      <c r="N241" s="244"/>
      <c r="O241" s="244"/>
      <c r="P241" s="244"/>
      <c r="Q241" s="244"/>
      <c r="R241" s="244"/>
      <c r="S241" s="235"/>
      <c r="T241" s="74"/>
      <c r="U241" s="74"/>
      <c r="V241" s="74"/>
      <c r="W241" s="74"/>
      <c r="X241" s="74"/>
      <c r="Y241" s="74"/>
    </row>
    <row r="242" ht="21.0" customHeight="1">
      <c r="A242" s="191"/>
      <c r="B242" s="245" t="s">
        <v>5</v>
      </c>
      <c r="C242" s="245" t="s">
        <v>49</v>
      </c>
      <c r="D242" s="245" t="s">
        <v>50</v>
      </c>
      <c r="E242" s="245" t="s">
        <v>51</v>
      </c>
      <c r="F242" s="245" t="s">
        <v>52</v>
      </c>
      <c r="G242" s="245" t="s">
        <v>10</v>
      </c>
      <c r="H242" s="245" t="s">
        <v>11</v>
      </c>
      <c r="I242" s="245" t="s">
        <v>12</v>
      </c>
      <c r="J242" s="245" t="s">
        <v>5</v>
      </c>
      <c r="K242" s="245" t="s">
        <v>49</v>
      </c>
      <c r="L242" s="245" t="s">
        <v>50</v>
      </c>
      <c r="M242" s="245" t="s">
        <v>51</v>
      </c>
      <c r="N242" s="245" t="s">
        <v>52</v>
      </c>
      <c r="O242" s="245" t="s">
        <v>10</v>
      </c>
      <c r="P242" s="245" t="s">
        <v>11</v>
      </c>
      <c r="Q242" s="245" t="s">
        <v>12</v>
      </c>
      <c r="R242" s="246" t="s">
        <v>13</v>
      </c>
      <c r="S242" s="247" t="s">
        <v>53</v>
      </c>
      <c r="T242" s="74"/>
      <c r="U242" s="74"/>
      <c r="V242" s="74"/>
      <c r="W242" s="74"/>
      <c r="X242" s="74"/>
      <c r="Y242" s="74"/>
    </row>
    <row r="243" ht="14.25" customHeight="1">
      <c r="A243" s="154" t="s">
        <v>119</v>
      </c>
      <c r="B243" s="175"/>
      <c r="C243" s="175">
        <f>0+1</f>
        <v>1</v>
      </c>
      <c r="D243" s="175">
        <f>0+1-1+3+2</f>
        <v>5</v>
      </c>
      <c r="E243" s="175">
        <f>0+1-1+1-1</f>
        <v>0</v>
      </c>
      <c r="F243" s="175"/>
      <c r="G243" s="175">
        <f>0+1-1</f>
        <v>0</v>
      </c>
      <c r="H243" s="175"/>
      <c r="I243" s="175"/>
      <c r="J243" s="175"/>
      <c r="K243" s="175">
        <f>0+1+4+1-5-1+1+3+1</f>
        <v>5</v>
      </c>
      <c r="L243" s="175">
        <f>0+4+2-1+1-1-4-1+3-2+2-1+1-2+2+1-1+1</f>
        <v>4</v>
      </c>
      <c r="M243" s="175">
        <f>0+4+2-4-1-1+1-1+1+2-2+2-1+1-2+2-1+1-1-2+1</f>
        <v>1</v>
      </c>
      <c r="N243" s="175">
        <f>0+2-2+2+1-1+1-3+3-3+3-2+2</f>
        <v>3</v>
      </c>
      <c r="O243" s="175">
        <f>1+2-2+2+1-2+2</f>
        <v>4</v>
      </c>
      <c r="P243" s="175">
        <f>0+1-1</f>
        <v>0</v>
      </c>
      <c r="Q243" s="175"/>
      <c r="R243" s="248"/>
      <c r="S243" s="85">
        <f>SUM(B243:R243)</f>
        <v>23</v>
      </c>
      <c r="T243" s="74"/>
      <c r="U243" s="74"/>
      <c r="V243" s="74"/>
      <c r="W243" s="74"/>
      <c r="X243" s="74"/>
      <c r="Y243" s="74"/>
    </row>
    <row r="244" ht="14.25" customHeight="1">
      <c r="A244" s="201"/>
      <c r="B244" s="201"/>
      <c r="C244" s="201"/>
      <c r="D244" s="201"/>
      <c r="E244" s="201"/>
      <c r="F244" s="201"/>
      <c r="G244" s="201"/>
      <c r="H244" s="201"/>
      <c r="I244" s="201"/>
      <c r="J244" s="201"/>
      <c r="K244" s="185"/>
      <c r="L244" s="74"/>
      <c r="M244" s="74"/>
      <c r="N244" s="74"/>
      <c r="O244" s="74"/>
      <c r="P244" s="74"/>
      <c r="Q244" s="74"/>
      <c r="R244" s="74"/>
      <c r="S244" s="85">
        <f>S243</f>
        <v>23</v>
      </c>
      <c r="T244" s="74"/>
      <c r="U244" s="74"/>
      <c r="V244" s="74"/>
      <c r="W244" s="74"/>
      <c r="X244" s="74"/>
      <c r="Y244" s="74"/>
    </row>
    <row r="245" ht="14.25" customHeight="1">
      <c r="A245" s="201"/>
      <c r="B245" s="201"/>
      <c r="C245" s="201"/>
      <c r="D245" s="201"/>
      <c r="E245" s="201"/>
      <c r="F245" s="201"/>
      <c r="G245" s="201"/>
      <c r="H245" s="201"/>
      <c r="I245" s="201"/>
      <c r="J245" s="201"/>
      <c r="K245" s="185"/>
      <c r="L245" s="74"/>
      <c r="M245" s="74"/>
      <c r="N245" s="74"/>
      <c r="O245" s="74"/>
      <c r="P245" s="74"/>
      <c r="Q245" s="74"/>
      <c r="R245" s="74"/>
      <c r="S245" s="249"/>
      <c r="T245" s="74"/>
      <c r="U245" s="74"/>
      <c r="V245" s="74"/>
      <c r="W245" s="74"/>
      <c r="X245" s="74"/>
      <c r="Y245" s="74"/>
    </row>
    <row r="246" ht="69.0" customHeight="1">
      <c r="A246" s="250" t="s">
        <v>120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70"/>
      <c r="T246" s="74"/>
      <c r="U246" s="74"/>
      <c r="V246" s="74"/>
      <c r="W246" s="74"/>
      <c r="X246" s="74"/>
      <c r="Y246" s="74"/>
    </row>
    <row r="247" ht="40.5" customHeight="1">
      <c r="A247" s="251"/>
      <c r="B247" s="251"/>
      <c r="C247" s="251"/>
      <c r="D247" s="251"/>
      <c r="E247" s="251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74"/>
      <c r="U247" s="74"/>
      <c r="V247" s="74"/>
      <c r="W247" s="74"/>
      <c r="X247" s="74"/>
      <c r="Y247" s="74"/>
    </row>
    <row r="248" ht="21.0" customHeight="1">
      <c r="A248" s="166" t="s">
        <v>121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70"/>
      <c r="L248" s="74"/>
      <c r="M248" s="74"/>
      <c r="N248" s="74"/>
      <c r="O248" s="74"/>
      <c r="P248" s="74"/>
      <c r="Q248" s="74"/>
      <c r="R248" s="74"/>
      <c r="S248" s="74"/>
      <c r="T248" s="74"/>
      <c r="U248" s="74"/>
      <c r="V248" s="74"/>
      <c r="W248" s="74"/>
      <c r="X248" s="74"/>
      <c r="Y248" s="74"/>
    </row>
    <row r="249" ht="14.25" customHeight="1">
      <c r="A249" s="166" t="s">
        <v>88</v>
      </c>
      <c r="B249" s="54"/>
      <c r="C249" s="54"/>
      <c r="D249" s="54"/>
      <c r="E249" s="54"/>
      <c r="F249" s="54"/>
      <c r="G249" s="54"/>
      <c r="H249" s="54"/>
      <c r="I249" s="54"/>
      <c r="J249" s="70"/>
      <c r="K249" s="182" t="s">
        <v>53</v>
      </c>
      <c r="L249" s="74"/>
      <c r="M249" s="74"/>
      <c r="N249" s="74"/>
      <c r="O249" s="74"/>
      <c r="P249" s="74"/>
      <c r="Q249" s="74"/>
      <c r="R249" s="74"/>
      <c r="S249" s="74"/>
      <c r="T249" s="74"/>
      <c r="U249" s="74"/>
      <c r="V249" s="74"/>
      <c r="W249" s="74"/>
      <c r="X249" s="74"/>
      <c r="Y249" s="74"/>
    </row>
    <row r="250" ht="14.25" customHeight="1">
      <c r="A250" s="154" t="s">
        <v>15</v>
      </c>
      <c r="B250" s="252">
        <f>3-1+1</f>
        <v>3</v>
      </c>
      <c r="C250" s="54"/>
      <c r="D250" s="54"/>
      <c r="E250" s="54"/>
      <c r="F250" s="54"/>
      <c r="G250" s="54"/>
      <c r="H250" s="54"/>
      <c r="I250" s="54"/>
      <c r="J250" s="70"/>
      <c r="K250" s="183">
        <f t="shared" ref="K250:K252" si="105">SUM(B250:J250)</f>
        <v>3</v>
      </c>
      <c r="L250" s="74"/>
      <c r="M250" s="74"/>
      <c r="N250" s="74"/>
      <c r="O250" s="74"/>
      <c r="P250" s="74"/>
      <c r="Q250" s="74"/>
      <c r="R250" s="74"/>
      <c r="S250" s="74"/>
      <c r="T250" s="74"/>
      <c r="U250" s="74"/>
      <c r="V250" s="74"/>
      <c r="W250" s="74"/>
      <c r="X250" s="74"/>
      <c r="Y250" s="74"/>
    </row>
    <row r="251" ht="14.25" customHeight="1">
      <c r="A251" s="154" t="s">
        <v>14</v>
      </c>
      <c r="B251" s="252">
        <f>1-1+1-1</f>
        <v>0</v>
      </c>
      <c r="C251" s="54"/>
      <c r="D251" s="54"/>
      <c r="E251" s="54"/>
      <c r="F251" s="54"/>
      <c r="G251" s="54"/>
      <c r="H251" s="54"/>
      <c r="I251" s="54"/>
      <c r="J251" s="70"/>
      <c r="K251" s="183">
        <f t="shared" si="105"/>
        <v>0</v>
      </c>
      <c r="L251" s="74"/>
      <c r="M251" s="74"/>
      <c r="N251" s="74"/>
      <c r="O251" s="74"/>
      <c r="P251" s="74"/>
      <c r="Q251" s="74"/>
      <c r="R251" s="74"/>
      <c r="S251" s="74"/>
      <c r="T251" s="74"/>
      <c r="U251" s="74"/>
      <c r="V251" s="74"/>
      <c r="W251" s="74"/>
      <c r="X251" s="74"/>
      <c r="Y251" s="74"/>
    </row>
    <row r="252" ht="14.25" customHeight="1">
      <c r="A252" s="154" t="s">
        <v>80</v>
      </c>
      <c r="B252" s="252"/>
      <c r="C252" s="54"/>
      <c r="D252" s="54"/>
      <c r="E252" s="54"/>
      <c r="F252" s="54"/>
      <c r="G252" s="54"/>
      <c r="H252" s="54"/>
      <c r="I252" s="54"/>
      <c r="J252" s="70"/>
      <c r="K252" s="183">
        <f t="shared" si="105"/>
        <v>0</v>
      </c>
      <c r="L252" s="74"/>
      <c r="M252" s="74"/>
      <c r="N252" s="74"/>
      <c r="O252" s="74"/>
      <c r="P252" s="74"/>
      <c r="Q252" s="74"/>
      <c r="R252" s="74"/>
      <c r="S252" s="74"/>
      <c r="T252" s="74"/>
      <c r="U252" s="74"/>
      <c r="V252" s="75" t="s">
        <v>122</v>
      </c>
      <c r="W252" s="74"/>
      <c r="X252" s="74"/>
      <c r="Y252" s="74"/>
    </row>
    <row r="253" ht="14.25" customHeight="1">
      <c r="A253" s="176"/>
      <c r="B253" s="177"/>
      <c r="C253" s="177"/>
      <c r="D253" s="177"/>
      <c r="E253" s="177"/>
      <c r="F253" s="177"/>
      <c r="G253" s="177"/>
      <c r="H253" s="177"/>
      <c r="I253" s="177"/>
      <c r="J253" s="177"/>
      <c r="K253" s="200">
        <f>SUM(K250:K252)</f>
        <v>3</v>
      </c>
      <c r="L253" s="74"/>
      <c r="M253" s="74"/>
      <c r="N253" s="74"/>
      <c r="O253" s="74"/>
      <c r="P253" s="74"/>
      <c r="Q253" s="74"/>
      <c r="R253" s="74"/>
      <c r="S253" s="74"/>
      <c r="T253" s="74"/>
      <c r="U253" s="74"/>
      <c r="V253" s="74"/>
      <c r="W253" s="74"/>
      <c r="X253" s="74"/>
      <c r="Y253" s="74"/>
    </row>
    <row r="254" ht="14.25" customHeight="1">
      <c r="A254" s="176"/>
      <c r="B254" s="177"/>
      <c r="C254" s="177"/>
      <c r="D254" s="177"/>
      <c r="E254" s="177"/>
      <c r="F254" s="177"/>
      <c r="G254" s="177"/>
      <c r="H254" s="177"/>
      <c r="I254" s="177"/>
      <c r="J254" s="177"/>
      <c r="K254" s="121"/>
      <c r="L254" s="121"/>
      <c r="M254" s="74"/>
      <c r="N254" s="74"/>
      <c r="O254" s="74"/>
      <c r="P254" s="74"/>
      <c r="Q254" s="74"/>
      <c r="R254" s="74"/>
      <c r="S254" s="74"/>
      <c r="T254" s="74"/>
      <c r="U254" s="74"/>
      <c r="V254" s="74"/>
      <c r="W254" s="74"/>
      <c r="X254" s="74"/>
      <c r="Y254" s="74"/>
    </row>
    <row r="255" ht="21.0" customHeight="1">
      <c r="A255" s="166" t="s">
        <v>123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70"/>
      <c r="L255" s="74"/>
      <c r="M255" s="74"/>
      <c r="N255" s="74"/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/>
    </row>
    <row r="256" ht="14.25" customHeight="1">
      <c r="A256" s="166" t="s">
        <v>88</v>
      </c>
      <c r="B256" s="54"/>
      <c r="C256" s="54"/>
      <c r="D256" s="54"/>
      <c r="E256" s="54"/>
      <c r="F256" s="54"/>
      <c r="G256" s="54"/>
      <c r="H256" s="54"/>
      <c r="I256" s="54"/>
      <c r="J256" s="70"/>
      <c r="K256" s="182" t="s">
        <v>53</v>
      </c>
      <c r="L256" s="74"/>
      <c r="M256" s="74"/>
      <c r="N256" s="74"/>
      <c r="O256" s="74"/>
      <c r="P256" s="74"/>
      <c r="Q256" s="74"/>
      <c r="R256" s="74"/>
      <c r="S256" s="74"/>
      <c r="T256" s="74"/>
      <c r="U256" s="74"/>
      <c r="V256" s="74"/>
      <c r="W256" s="74"/>
      <c r="X256" s="74"/>
      <c r="Y256" s="74"/>
    </row>
    <row r="257" ht="14.25" customHeight="1">
      <c r="A257" s="154" t="s">
        <v>54</v>
      </c>
      <c r="B257" s="252">
        <f>0</f>
        <v>0</v>
      </c>
      <c r="C257" s="54"/>
      <c r="D257" s="54"/>
      <c r="E257" s="54"/>
      <c r="F257" s="54"/>
      <c r="G257" s="54"/>
      <c r="H257" s="54"/>
      <c r="I257" s="54"/>
      <c r="J257" s="70"/>
      <c r="K257" s="183">
        <f t="shared" ref="K257:K258" si="106">SUM(B257:J257)</f>
        <v>0</v>
      </c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4"/>
    </row>
    <row r="258" ht="14.25" customHeight="1">
      <c r="A258" s="154" t="s">
        <v>74</v>
      </c>
      <c r="B258" s="252">
        <f>1-1+1-1</f>
        <v>0</v>
      </c>
      <c r="C258" s="54"/>
      <c r="D258" s="54"/>
      <c r="E258" s="54"/>
      <c r="F258" s="54"/>
      <c r="G258" s="54"/>
      <c r="H258" s="54"/>
      <c r="I258" s="54"/>
      <c r="J258" s="70"/>
      <c r="K258" s="183">
        <f t="shared" si="106"/>
        <v>0</v>
      </c>
      <c r="L258" s="74"/>
      <c r="M258" s="74"/>
      <c r="N258" s="74"/>
      <c r="O258" s="74"/>
      <c r="P258" s="74"/>
      <c r="Q258" s="74"/>
      <c r="R258" s="74"/>
      <c r="S258" s="74"/>
      <c r="T258" s="74"/>
      <c r="U258" s="74"/>
      <c r="V258" s="74"/>
      <c r="W258" s="74"/>
      <c r="X258" s="74"/>
      <c r="Y258" s="74"/>
    </row>
    <row r="259" ht="14.25" customHeight="1">
      <c r="A259" s="201"/>
      <c r="B259" s="201"/>
      <c r="C259" s="201"/>
      <c r="D259" s="201"/>
      <c r="E259" s="201"/>
      <c r="F259" s="201"/>
      <c r="G259" s="201"/>
      <c r="H259" s="201"/>
      <c r="I259" s="201"/>
      <c r="J259" s="201"/>
      <c r="K259" s="185"/>
      <c r="L259" s="74"/>
      <c r="M259" s="74"/>
      <c r="N259" s="74"/>
      <c r="O259" s="74"/>
      <c r="P259" s="74"/>
      <c r="Q259" s="74"/>
      <c r="R259" s="74"/>
      <c r="S259" s="74"/>
      <c r="T259" s="74"/>
      <c r="U259" s="74"/>
      <c r="V259" s="74"/>
      <c r="W259" s="74"/>
      <c r="X259" s="74"/>
      <c r="Y259" s="74"/>
    </row>
    <row r="260" ht="14.25" customHeight="1">
      <c r="A260" s="191"/>
      <c r="B260" s="166" t="s">
        <v>124</v>
      </c>
      <c r="C260" s="54"/>
      <c r="D260" s="54"/>
      <c r="E260" s="54"/>
      <c r="F260" s="54"/>
      <c r="G260" s="54"/>
      <c r="H260" s="54"/>
      <c r="I260" s="54"/>
      <c r="J260" s="101"/>
      <c r="K260" s="183"/>
      <c r="L260" s="74"/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74"/>
    </row>
    <row r="261" ht="14.25" customHeight="1">
      <c r="A261" s="191" t="s">
        <v>93</v>
      </c>
      <c r="B261" s="175">
        <v>28.0</v>
      </c>
      <c r="C261" s="175">
        <v>30.0</v>
      </c>
      <c r="D261" s="175">
        <v>32.0</v>
      </c>
      <c r="E261" s="175">
        <v>34.0</v>
      </c>
      <c r="F261" s="175">
        <v>36.0</v>
      </c>
      <c r="G261" s="175">
        <v>38.0</v>
      </c>
      <c r="H261" s="175">
        <v>40.0</v>
      </c>
      <c r="I261" s="175"/>
      <c r="J261" s="248"/>
      <c r="K261" s="183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</row>
    <row r="262" ht="14.25" customHeight="1">
      <c r="A262" s="191"/>
      <c r="B262" s="245" t="s">
        <v>125</v>
      </c>
      <c r="C262" s="245"/>
      <c r="D262" s="245"/>
      <c r="E262" s="245"/>
      <c r="F262" s="245"/>
      <c r="G262" s="245"/>
      <c r="H262" s="245"/>
      <c r="I262" s="245"/>
      <c r="J262" s="246"/>
      <c r="K262" s="182" t="s">
        <v>53</v>
      </c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74"/>
    </row>
    <row r="263" ht="14.25" customHeight="1">
      <c r="A263" s="154" t="s">
        <v>74</v>
      </c>
      <c r="B263" s="175">
        <f>1-1</f>
        <v>0</v>
      </c>
      <c r="C263" s="175"/>
      <c r="D263" s="175"/>
      <c r="E263" s="175"/>
      <c r="F263" s="175"/>
      <c r="G263" s="175"/>
      <c r="H263" s="175"/>
      <c r="I263" s="175"/>
      <c r="J263" s="248"/>
      <c r="K263" s="183">
        <f t="shared" ref="K263:K264" si="107">SUM(B263:J263)</f>
        <v>0</v>
      </c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74"/>
    </row>
    <row r="264" ht="14.25" customHeight="1">
      <c r="A264" s="154" t="s">
        <v>14</v>
      </c>
      <c r="B264" s="106">
        <f>1+1-2+2-2+2</f>
        <v>2</v>
      </c>
      <c r="C264" s="175"/>
      <c r="D264" s="175"/>
      <c r="E264" s="175"/>
      <c r="F264" s="175"/>
      <c r="G264" s="175"/>
      <c r="H264" s="175"/>
      <c r="I264" s="175"/>
      <c r="J264" s="248"/>
      <c r="K264" s="183">
        <f t="shared" si="107"/>
        <v>2</v>
      </c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74"/>
    </row>
    <row r="265" ht="14.25" customHeight="1">
      <c r="A265" s="201"/>
      <c r="B265" s="201"/>
      <c r="C265" s="201"/>
      <c r="D265" s="201"/>
      <c r="E265" s="201"/>
      <c r="F265" s="201"/>
      <c r="G265" s="201"/>
      <c r="H265" s="201"/>
      <c r="I265" s="201"/>
      <c r="J265" s="201"/>
      <c r="K265" s="185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74"/>
    </row>
    <row r="266" ht="14.25" customHeight="1">
      <c r="A266" s="191"/>
      <c r="B266" s="253" t="s">
        <v>126</v>
      </c>
      <c r="C266" s="54"/>
      <c r="D266" s="54"/>
      <c r="E266" s="54"/>
      <c r="F266" s="54"/>
      <c r="G266" s="54"/>
      <c r="H266" s="54"/>
      <c r="I266" s="54"/>
      <c r="J266" s="101"/>
      <c r="K266" s="183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74"/>
    </row>
    <row r="267" ht="21.0" customHeight="1">
      <c r="A267" s="254" t="s">
        <v>42</v>
      </c>
      <c r="B267" s="54"/>
      <c r="C267" s="54"/>
      <c r="D267" s="54"/>
      <c r="E267" s="54"/>
      <c r="F267" s="54"/>
      <c r="G267" s="54"/>
      <c r="H267" s="54"/>
      <c r="I267" s="54"/>
      <c r="J267" s="54"/>
      <c r="K267" s="70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74"/>
    </row>
    <row r="268" ht="14.25" customHeight="1">
      <c r="A268" s="191"/>
      <c r="B268" s="255" t="s">
        <v>5</v>
      </c>
      <c r="C268" s="255" t="s">
        <v>49</v>
      </c>
      <c r="D268" s="255" t="s">
        <v>50</v>
      </c>
      <c r="E268" s="256" t="s">
        <v>51</v>
      </c>
      <c r="F268" s="255" t="s">
        <v>52</v>
      </c>
      <c r="G268" s="255" t="s">
        <v>10</v>
      </c>
      <c r="H268" s="255" t="s">
        <v>11</v>
      </c>
      <c r="I268" s="255" t="s">
        <v>12</v>
      </c>
      <c r="J268" s="257" t="s">
        <v>13</v>
      </c>
      <c r="K268" s="182" t="s">
        <v>53</v>
      </c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74"/>
    </row>
    <row r="269" ht="14.25" customHeight="1">
      <c r="A269" s="154" t="s">
        <v>14</v>
      </c>
      <c r="B269" s="175">
        <f>0+1-1+1+1</f>
        <v>2</v>
      </c>
      <c r="C269" s="175">
        <f>0+1-1+1</f>
        <v>1</v>
      </c>
      <c r="D269" s="175">
        <f>0+2-1+1+1-1-1+1-1-1+1+1+1-2+2-1+1+1</f>
        <v>4</v>
      </c>
      <c r="E269" s="175">
        <f>0+2-1+1-1+1-2+2-2+1-1+1-1+1</f>
        <v>1</v>
      </c>
      <c r="F269" s="175">
        <f>0+2-1+1-1-1+1+2-1-2+1+2+1</f>
        <v>4</v>
      </c>
      <c r="G269" s="175">
        <f>0+2</f>
        <v>2</v>
      </c>
      <c r="H269" s="175">
        <f>0+1-1+1</f>
        <v>1</v>
      </c>
      <c r="I269" s="175">
        <f t="shared" ref="I269:J269" si="108">0</f>
        <v>0</v>
      </c>
      <c r="J269" s="175">
        <f t="shared" si="108"/>
        <v>0</v>
      </c>
      <c r="K269" s="183">
        <f t="shared" ref="K269:K271" si="110">SUM(B269:J269)</f>
        <v>15</v>
      </c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74"/>
    </row>
    <row r="270" ht="14.25" customHeight="1">
      <c r="A270" s="154" t="s">
        <v>74</v>
      </c>
      <c r="B270" s="175">
        <f t="shared" ref="B270:B271" si="111">0</f>
        <v>0</v>
      </c>
      <c r="C270" s="175">
        <f>0+1-1+1-1+1+1</f>
        <v>2</v>
      </c>
      <c r="D270" s="175">
        <f>0+1+1</f>
        <v>2</v>
      </c>
      <c r="E270" s="175">
        <f>0</f>
        <v>0</v>
      </c>
      <c r="F270" s="175">
        <f>0+2+2</f>
        <v>4</v>
      </c>
      <c r="G270" s="175">
        <f t="shared" ref="G270:J270" si="109">0</f>
        <v>0</v>
      </c>
      <c r="H270" s="175">
        <f t="shared" si="109"/>
        <v>0</v>
      </c>
      <c r="I270" s="175">
        <f t="shared" si="109"/>
        <v>0</v>
      </c>
      <c r="J270" s="175">
        <f t="shared" si="109"/>
        <v>0</v>
      </c>
      <c r="K270" s="183">
        <f t="shared" si="110"/>
        <v>8</v>
      </c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74"/>
    </row>
    <row r="271" ht="14.25" customHeight="1">
      <c r="A271" s="154" t="s">
        <v>18</v>
      </c>
      <c r="B271" s="175">
        <f t="shared" si="111"/>
        <v>0</v>
      </c>
      <c r="C271" s="175">
        <f t="shared" ref="C271:J271" si="112">0</f>
        <v>0</v>
      </c>
      <c r="D271" s="175">
        <f t="shared" si="112"/>
        <v>0</v>
      </c>
      <c r="E271" s="175">
        <f t="shared" si="112"/>
        <v>0</v>
      </c>
      <c r="F271" s="175">
        <f t="shared" si="112"/>
        <v>0</v>
      </c>
      <c r="G271" s="175">
        <f t="shared" si="112"/>
        <v>0</v>
      </c>
      <c r="H271" s="175">
        <f t="shared" si="112"/>
        <v>0</v>
      </c>
      <c r="I271" s="175">
        <f t="shared" si="112"/>
        <v>0</v>
      </c>
      <c r="J271" s="175">
        <f t="shared" si="112"/>
        <v>0</v>
      </c>
      <c r="K271" s="183">
        <f t="shared" si="110"/>
        <v>0</v>
      </c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74"/>
    </row>
    <row r="272" ht="14.25" customHeight="1">
      <c r="A272" s="176"/>
      <c r="B272" s="177"/>
      <c r="C272" s="177"/>
      <c r="D272" s="177"/>
      <c r="E272" s="177"/>
      <c r="F272" s="177"/>
      <c r="G272" s="177"/>
      <c r="H272" s="177"/>
      <c r="I272" s="177"/>
      <c r="J272" s="177"/>
      <c r="K272" s="192">
        <f>SUM(K269:K271)</f>
        <v>23</v>
      </c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74"/>
    </row>
    <row r="273" ht="14.25" customHeight="1">
      <c r="A273" s="258"/>
      <c r="B273" s="258"/>
      <c r="C273" s="258"/>
      <c r="D273" s="258"/>
      <c r="E273" s="258"/>
      <c r="F273" s="258"/>
      <c r="G273" s="258"/>
      <c r="H273" s="258"/>
      <c r="I273" s="258"/>
      <c r="J273" s="258"/>
      <c r="K273" s="179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</row>
    <row r="274" ht="14.25" customHeight="1">
      <c r="A274" s="258"/>
      <c r="B274" s="258"/>
      <c r="C274" s="258"/>
      <c r="D274" s="258"/>
      <c r="E274" s="258"/>
      <c r="F274" s="258"/>
      <c r="G274" s="258"/>
      <c r="H274" s="258"/>
      <c r="I274" s="258"/>
      <c r="J274" s="258"/>
      <c r="K274" s="179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74"/>
    </row>
    <row r="275" ht="21.75" customHeight="1">
      <c r="A275" s="186" t="s">
        <v>127</v>
      </c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4"/>
      <c r="T275" s="74"/>
      <c r="U275" s="74"/>
      <c r="V275" s="74"/>
      <c r="W275" s="74"/>
      <c r="X275" s="74"/>
      <c r="Y275" s="74"/>
    </row>
    <row r="276" ht="21.0" customHeight="1">
      <c r="A276" s="154"/>
      <c r="B276" s="166" t="s">
        <v>2</v>
      </c>
      <c r="C276" s="54"/>
      <c r="D276" s="54"/>
      <c r="E276" s="54"/>
      <c r="F276" s="54"/>
      <c r="G276" s="54"/>
      <c r="H276" s="54"/>
      <c r="I276" s="70"/>
      <c r="J276" s="259" t="s">
        <v>3</v>
      </c>
      <c r="K276" s="54"/>
      <c r="L276" s="54"/>
      <c r="M276" s="54"/>
      <c r="N276" s="54"/>
      <c r="O276" s="54"/>
      <c r="P276" s="54"/>
      <c r="Q276" s="54"/>
      <c r="R276" s="70"/>
      <c r="S276" s="235"/>
      <c r="T276" s="74"/>
      <c r="U276" s="74"/>
      <c r="V276" s="74"/>
      <c r="W276" s="74"/>
      <c r="X276" s="74"/>
      <c r="Y276" s="74"/>
    </row>
    <row r="277" ht="42.0" customHeight="1">
      <c r="A277" s="154" t="s">
        <v>128</v>
      </c>
      <c r="B277" s="260">
        <v>5.0</v>
      </c>
      <c r="C277" s="260">
        <v>7.0</v>
      </c>
      <c r="D277" s="260">
        <v>9.0</v>
      </c>
      <c r="E277" s="260">
        <v>11.0</v>
      </c>
      <c r="F277" s="260">
        <v>13.0</v>
      </c>
      <c r="G277" s="260">
        <v>15.0</v>
      </c>
      <c r="H277" s="260">
        <v>17.0</v>
      </c>
      <c r="I277" s="260">
        <v>19.0</v>
      </c>
      <c r="J277" s="261">
        <v>28.0</v>
      </c>
      <c r="K277" s="261">
        <v>30.0</v>
      </c>
      <c r="L277" s="261">
        <v>32.0</v>
      </c>
      <c r="M277" s="261">
        <v>34.0</v>
      </c>
      <c r="N277" s="261">
        <v>36.0</v>
      </c>
      <c r="O277" s="261">
        <v>38.0</v>
      </c>
      <c r="P277" s="261">
        <v>40.0</v>
      </c>
      <c r="Q277" s="261">
        <v>42.0</v>
      </c>
      <c r="R277" s="261">
        <v>44.0</v>
      </c>
      <c r="S277" s="182" t="s">
        <v>53</v>
      </c>
      <c r="T277" s="74"/>
      <c r="U277" s="74"/>
      <c r="V277" s="74"/>
      <c r="W277" s="74"/>
      <c r="X277" s="74"/>
      <c r="Y277" s="74"/>
    </row>
    <row r="278" ht="14.25" customHeight="1">
      <c r="A278" s="154" t="s">
        <v>55</v>
      </c>
      <c r="B278" s="175"/>
      <c r="C278" s="175"/>
      <c r="D278" s="175"/>
      <c r="E278" s="175"/>
      <c r="F278" s="175"/>
      <c r="G278" s="175"/>
      <c r="H278" s="262">
        <v>1.0</v>
      </c>
      <c r="I278" s="175"/>
      <c r="J278" s="175">
        <f>0</f>
        <v>0</v>
      </c>
      <c r="K278" s="175">
        <f>1</f>
        <v>1</v>
      </c>
      <c r="L278" s="175">
        <f>1-1</f>
        <v>0</v>
      </c>
      <c r="M278" s="175">
        <f t="shared" ref="M278:Q278" si="113">1</f>
        <v>1</v>
      </c>
      <c r="N278" s="175">
        <f t="shared" si="113"/>
        <v>1</v>
      </c>
      <c r="O278" s="175">
        <f t="shared" si="113"/>
        <v>1</v>
      </c>
      <c r="P278" s="175">
        <f t="shared" si="113"/>
        <v>1</v>
      </c>
      <c r="Q278" s="175">
        <f t="shared" si="113"/>
        <v>1</v>
      </c>
      <c r="R278" s="175">
        <f>0</f>
        <v>0</v>
      </c>
      <c r="S278" s="183">
        <f>SUM(J278:R278)</f>
        <v>6</v>
      </c>
      <c r="T278" s="74"/>
      <c r="U278" s="74"/>
      <c r="V278" s="74"/>
      <c r="W278" s="74"/>
      <c r="X278" s="74"/>
      <c r="Y278" s="74"/>
    </row>
    <row r="279" ht="14.25" customHeight="1">
      <c r="A279" s="263"/>
      <c r="B279" s="201"/>
      <c r="C279" s="201"/>
      <c r="D279" s="201"/>
      <c r="E279" s="201"/>
      <c r="F279" s="201"/>
      <c r="G279" s="201"/>
      <c r="H279" s="201"/>
      <c r="I279" s="201"/>
      <c r="J279" s="201"/>
      <c r="K279" s="201"/>
      <c r="L279" s="201"/>
      <c r="M279" s="201"/>
      <c r="N279" s="201"/>
      <c r="O279" s="201"/>
      <c r="P279" s="201"/>
      <c r="Q279" s="201"/>
      <c r="R279" s="201"/>
      <c r="S279" s="200">
        <v>7.0</v>
      </c>
      <c r="T279" s="74"/>
      <c r="U279" s="74"/>
      <c r="V279" s="74"/>
      <c r="W279" s="74"/>
      <c r="X279" s="74"/>
      <c r="Y279" s="74"/>
    </row>
    <row r="280" ht="14.25" customHeight="1">
      <c r="A280" s="258"/>
      <c r="B280" s="258"/>
      <c r="C280" s="258"/>
      <c r="D280" s="258"/>
      <c r="E280" s="258"/>
      <c r="F280" s="258"/>
      <c r="G280" s="258"/>
      <c r="H280" s="258"/>
      <c r="I280" s="258"/>
      <c r="J280" s="258"/>
      <c r="K280" s="179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74"/>
    </row>
    <row r="281" ht="14.25" customHeight="1">
      <c r="A281" s="258"/>
      <c r="B281" s="258"/>
      <c r="C281" s="258"/>
      <c r="D281" s="258"/>
      <c r="E281" s="258"/>
      <c r="F281" s="258"/>
      <c r="G281" s="258"/>
      <c r="H281" s="258"/>
      <c r="I281" s="258"/>
      <c r="J281" s="258"/>
      <c r="K281" s="179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74"/>
    </row>
    <row r="282" ht="14.25" customHeight="1">
      <c r="A282" s="264" t="s">
        <v>129</v>
      </c>
      <c r="B282" s="54"/>
      <c r="C282" s="54"/>
      <c r="D282" s="54"/>
      <c r="E282" s="54"/>
      <c r="F282" s="54"/>
      <c r="G282" s="54"/>
      <c r="H282" s="54"/>
      <c r="I282" s="54"/>
      <c r="J282" s="54"/>
      <c r="K282" s="70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74"/>
    </row>
    <row r="283" ht="14.25" customHeight="1">
      <c r="A283" s="265" t="s">
        <v>129</v>
      </c>
      <c r="B283" s="266" t="s">
        <v>5</v>
      </c>
      <c r="C283" s="255" t="s">
        <v>49</v>
      </c>
      <c r="D283" s="255" t="s">
        <v>50</v>
      </c>
      <c r="E283" s="255" t="s">
        <v>51</v>
      </c>
      <c r="F283" s="255" t="s">
        <v>52</v>
      </c>
      <c r="G283" s="255" t="s">
        <v>10</v>
      </c>
      <c r="H283" s="255" t="s">
        <v>11</v>
      </c>
      <c r="I283" s="255" t="s">
        <v>12</v>
      </c>
      <c r="J283" s="257" t="s">
        <v>13</v>
      </c>
      <c r="K283" s="267" t="s">
        <v>53</v>
      </c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74"/>
    </row>
    <row r="284" ht="14.25" customHeight="1">
      <c r="A284" s="135"/>
      <c r="B284" s="268">
        <f t="shared" ref="B284:D284" si="114">0</f>
        <v>0</v>
      </c>
      <c r="C284" s="175">
        <f t="shared" si="114"/>
        <v>0</v>
      </c>
      <c r="D284" s="175">
        <f t="shared" si="114"/>
        <v>0</v>
      </c>
      <c r="E284" s="175">
        <f>0+21-2+1+1-2+2-1-5+1-1+5-1+1+1-1-1+1+20+1-1-1+1+1-1-1-1-19-1+1+1+1+1-1-8+1-2+8+2+1-1-1-1-5-1+19-1-1-2-2-1+1+1+1+1+2-1+2+1-2-1-1-3-1-2-1+1+1+2-2-2+2+1+3+1+1-2+1-1+2-1+2+1-2-1-6-10-4+170+8-1+2-1+1+10-1-1+1+4+1-1-4-1+1+1+1-1-6-1+1+1-1-1+6+1+1+1+2-10-1-4+1+1-1-20-2-7-16-1-1-1-3-4-1-1-2-13-2-2-1-3-104-1-4+4+10+1-1-3-6-5+15+2-2-2-10-1+519-15-4-1-1-3-1-1-1-1-1-7-1-1-4-1-1-2-3-25-15-1-1-2-1-1-1-1-2+7+1+1-2-2+1+1+1+2-10+3+16+2+5+3+4+1+1-2-2-1-4-1+15+1+4+1+1+5+2+10-2-3-4+7+1+2+3+4+1+1-30-20-2-2-1-2-2-1-2+2+3+1+2+15+1+6+1+1+2+25+1+3+2+2+10+3-1-1-10+2+1+1+4+3+2+1+1+1-2-2-3-4-3+1+20+1+2+30+3+1+2-1+10+1+1+2+1+2+2+1-2-2-2-3+4+2+3-1-1+2+1+1-1-2-3-1-1-5-3-2-2-8-30+1-1-2+2-1-19-2-1+8+2-1</f>
        <v>513</v>
      </c>
      <c r="F284" s="175">
        <f t="shared" ref="F284:J284" si="115">0</f>
        <v>0</v>
      </c>
      <c r="G284" s="175">
        <f t="shared" si="115"/>
        <v>0</v>
      </c>
      <c r="H284" s="175">
        <f t="shared" si="115"/>
        <v>0</v>
      </c>
      <c r="I284" s="175">
        <f t="shared" si="115"/>
        <v>0</v>
      </c>
      <c r="J284" s="248">
        <f t="shared" si="115"/>
        <v>0</v>
      </c>
      <c r="K284" s="269">
        <f>SUM(B284:J284)</f>
        <v>513</v>
      </c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74"/>
    </row>
    <row r="285" ht="14.25" customHeight="1">
      <c r="A285" s="258"/>
      <c r="B285" s="258"/>
      <c r="C285" s="258"/>
      <c r="D285" s="258"/>
      <c r="E285" s="270" t="s">
        <v>0</v>
      </c>
      <c r="F285" s="258"/>
      <c r="G285" s="258"/>
      <c r="H285" s="258"/>
      <c r="I285" s="258"/>
      <c r="J285" s="258"/>
      <c r="K285" s="179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74"/>
    </row>
    <row r="286" ht="14.25" customHeight="1">
      <c r="A286" s="264" t="s">
        <v>130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70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74"/>
    </row>
    <row r="287" ht="14.25" customHeight="1">
      <c r="A287" s="265" t="s">
        <v>130</v>
      </c>
      <c r="B287" s="266" t="s">
        <v>5</v>
      </c>
      <c r="C287" s="255" t="s">
        <v>49</v>
      </c>
      <c r="D287" s="255" t="s">
        <v>50</v>
      </c>
      <c r="E287" s="256" t="s">
        <v>51</v>
      </c>
      <c r="F287" s="255" t="s">
        <v>52</v>
      </c>
      <c r="G287" s="255" t="s">
        <v>10</v>
      </c>
      <c r="H287" s="255" t="s">
        <v>11</v>
      </c>
      <c r="I287" s="255" t="s">
        <v>12</v>
      </c>
      <c r="J287" s="257" t="s">
        <v>13</v>
      </c>
      <c r="K287" s="182" t="s">
        <v>53</v>
      </c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74"/>
    </row>
    <row r="288" ht="14.25" customHeight="1">
      <c r="A288" s="135"/>
      <c r="B288" s="268">
        <f>3-1+5-3-4</f>
        <v>0</v>
      </c>
      <c r="C288" s="175">
        <f>5-3-1-1</f>
        <v>0</v>
      </c>
      <c r="D288" s="175">
        <f>1+5-1-3+1-1-2</f>
        <v>0</v>
      </c>
      <c r="E288" s="175">
        <f>1-1+1-1+1-1+1+5-1-3+1-1-1-1</f>
        <v>0</v>
      </c>
      <c r="F288" s="175">
        <f>5-1-3-1+1+1-1</f>
        <v>1</v>
      </c>
      <c r="G288" s="175">
        <f>5-1-1-3+1+1-2+1</f>
        <v>1</v>
      </c>
      <c r="H288" s="175">
        <f>0+3</f>
        <v>3</v>
      </c>
      <c r="I288" s="175">
        <f>0</f>
        <v>0</v>
      </c>
      <c r="J288" s="106"/>
      <c r="K288" s="271">
        <f>SUM(B288:J288)</f>
        <v>5</v>
      </c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74"/>
    </row>
    <row r="289" ht="14.25" customHeight="1">
      <c r="A289" s="258"/>
      <c r="B289" s="258"/>
      <c r="C289" s="258"/>
      <c r="D289" s="258"/>
      <c r="E289" s="258"/>
      <c r="F289" s="258"/>
      <c r="G289" s="258"/>
      <c r="H289" s="258"/>
      <c r="I289" s="258"/>
      <c r="J289" s="258"/>
      <c r="K289" s="179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74"/>
    </row>
    <row r="290" ht="14.25" customHeight="1">
      <c r="A290" s="272" t="s">
        <v>131</v>
      </c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4"/>
      <c r="U290" s="74"/>
      <c r="V290" s="74"/>
      <c r="W290" s="74"/>
      <c r="X290" s="74"/>
      <c r="Y290" s="74"/>
    </row>
    <row r="291" ht="14.25" customHeight="1">
      <c r="A291" s="203"/>
      <c r="B291" s="204" t="s">
        <v>2</v>
      </c>
      <c r="C291" s="54"/>
      <c r="D291" s="54"/>
      <c r="E291" s="54"/>
      <c r="F291" s="54"/>
      <c r="G291" s="54"/>
      <c r="H291" s="54"/>
      <c r="I291" s="54"/>
      <c r="J291" s="70"/>
      <c r="K291" s="204" t="s">
        <v>3</v>
      </c>
      <c r="L291" s="54"/>
      <c r="M291" s="54"/>
      <c r="N291" s="54"/>
      <c r="O291" s="54"/>
      <c r="P291" s="54"/>
      <c r="Q291" s="54"/>
      <c r="R291" s="54"/>
      <c r="S291" s="70"/>
      <c r="T291" s="102"/>
      <c r="U291" s="74"/>
      <c r="V291" s="74"/>
      <c r="W291" s="74"/>
      <c r="X291" s="74"/>
      <c r="Y291" s="74"/>
    </row>
    <row r="292" ht="14.25" customHeight="1">
      <c r="A292" s="273"/>
      <c r="B292" s="168" t="s">
        <v>5</v>
      </c>
      <c r="C292" s="168" t="s">
        <v>49</v>
      </c>
      <c r="D292" s="206" t="s">
        <v>50</v>
      </c>
      <c r="E292" s="206" t="s">
        <v>51</v>
      </c>
      <c r="F292" s="168" t="s">
        <v>52</v>
      </c>
      <c r="G292" s="168" t="s">
        <v>10</v>
      </c>
      <c r="H292" s="168" t="s">
        <v>11</v>
      </c>
      <c r="I292" s="168" t="s">
        <v>12</v>
      </c>
      <c r="J292" s="168" t="s">
        <v>13</v>
      </c>
      <c r="K292" s="169" t="s">
        <v>5</v>
      </c>
      <c r="L292" s="181" t="s">
        <v>49</v>
      </c>
      <c r="M292" s="169" t="s">
        <v>50</v>
      </c>
      <c r="N292" s="181" t="s">
        <v>51</v>
      </c>
      <c r="O292" s="169" t="s">
        <v>52</v>
      </c>
      <c r="P292" s="169" t="s">
        <v>10</v>
      </c>
      <c r="Q292" s="169" t="s">
        <v>11</v>
      </c>
      <c r="R292" s="169" t="s">
        <v>12</v>
      </c>
      <c r="S292" s="169" t="s">
        <v>13</v>
      </c>
      <c r="T292" s="182" t="s">
        <v>53</v>
      </c>
      <c r="U292" s="74"/>
      <c r="V292" s="74"/>
      <c r="W292" s="74"/>
      <c r="X292" s="74"/>
      <c r="Y292" s="74"/>
    </row>
    <row r="293" ht="14.25" customHeight="1">
      <c r="A293" s="154" t="s">
        <v>74</v>
      </c>
      <c r="B293" s="174">
        <f>2-1+1+1-3</f>
        <v>0</v>
      </c>
      <c r="C293" s="174">
        <f>2-2+2</f>
        <v>2</v>
      </c>
      <c r="D293" s="174">
        <f>3+1+2</f>
        <v>6</v>
      </c>
      <c r="E293" s="274">
        <f t="shared" ref="E293:E295" si="118">5</f>
        <v>5</v>
      </c>
      <c r="F293" s="174">
        <f>3</f>
        <v>3</v>
      </c>
      <c r="G293" s="174">
        <f t="shared" ref="G293:H293" si="116">2</f>
        <v>2</v>
      </c>
      <c r="H293" s="174">
        <f t="shared" si="116"/>
        <v>2</v>
      </c>
      <c r="I293" s="174" t="s">
        <v>0</v>
      </c>
      <c r="J293" s="174" t="s">
        <v>0</v>
      </c>
      <c r="K293" s="174" t="s">
        <v>0</v>
      </c>
      <c r="L293" s="174">
        <f>2+1</f>
        <v>3</v>
      </c>
      <c r="M293" s="174">
        <f>3+5-1+1-1+1-1+1-1+1+1-1-1+1</f>
        <v>8</v>
      </c>
      <c r="N293" s="174">
        <f>5-1-1+1-1+1+1</f>
        <v>5</v>
      </c>
      <c r="O293" s="187">
        <f>5-1-1-1+1+1-1+1</f>
        <v>4</v>
      </c>
      <c r="P293" s="275">
        <f>3-1+1</f>
        <v>3</v>
      </c>
      <c r="Q293" s="187">
        <f>3</f>
        <v>3</v>
      </c>
      <c r="R293" s="174" t="s">
        <v>0</v>
      </c>
      <c r="S293" s="276" t="s">
        <v>0</v>
      </c>
      <c r="T293" s="175">
        <f t="shared" ref="T293:T295" si="120">SUM(B293:S293)</f>
        <v>46</v>
      </c>
      <c r="U293" s="74"/>
      <c r="V293" s="74"/>
      <c r="W293" s="74"/>
      <c r="X293" s="74"/>
      <c r="Y293" s="74"/>
    </row>
    <row r="294" ht="14.25" customHeight="1">
      <c r="A294" s="154" t="s">
        <v>15</v>
      </c>
      <c r="B294" s="174">
        <f t="shared" ref="B294:C294" si="117">2</f>
        <v>2</v>
      </c>
      <c r="C294" s="174">
        <f t="shared" si="117"/>
        <v>2</v>
      </c>
      <c r="D294" s="274">
        <f t="shared" ref="D294:D295" si="121">3</f>
        <v>3</v>
      </c>
      <c r="E294" s="174">
        <f t="shared" si="118"/>
        <v>5</v>
      </c>
      <c r="F294" s="174">
        <f>3-1</f>
        <v>2</v>
      </c>
      <c r="G294" s="174">
        <f t="shared" ref="G294:H294" si="119">2</f>
        <v>2</v>
      </c>
      <c r="H294" s="174">
        <f t="shared" si="119"/>
        <v>2</v>
      </c>
      <c r="I294" s="174" t="s">
        <v>0</v>
      </c>
      <c r="J294" s="174" t="s">
        <v>0</v>
      </c>
      <c r="K294" s="274" t="s">
        <v>0</v>
      </c>
      <c r="L294" s="174">
        <f>2</f>
        <v>2</v>
      </c>
      <c r="M294" s="174">
        <f>4-1-1-1+1+1+1-1-1-1+2+1-1-2-1+1+2</f>
        <v>3</v>
      </c>
      <c r="N294" s="274">
        <f>5-1-2-1+1+2+1-1+1+1</f>
        <v>6</v>
      </c>
      <c r="O294" s="174">
        <f>4-1-1+1+1-1-1-1+1+1+1+1-1</f>
        <v>4</v>
      </c>
      <c r="P294" s="275">
        <f>3+1-1+1</f>
        <v>4</v>
      </c>
      <c r="Q294" s="174">
        <f>3-1</f>
        <v>2</v>
      </c>
      <c r="R294" s="274" t="s">
        <v>0</v>
      </c>
      <c r="S294" s="276" t="s">
        <v>0</v>
      </c>
      <c r="T294" s="175">
        <f t="shared" si="120"/>
        <v>39</v>
      </c>
      <c r="U294" s="74"/>
      <c r="V294" s="74"/>
      <c r="W294" s="74"/>
      <c r="X294" s="74"/>
      <c r="Y294" s="74"/>
    </row>
    <row r="295" ht="14.25" customHeight="1">
      <c r="A295" s="216" t="s">
        <v>14</v>
      </c>
      <c r="B295" s="174">
        <f>2</f>
        <v>2</v>
      </c>
      <c r="C295" s="174">
        <f>2-1</f>
        <v>1</v>
      </c>
      <c r="D295" s="174">
        <f t="shared" si="121"/>
        <v>3</v>
      </c>
      <c r="E295" s="174">
        <f t="shared" si="118"/>
        <v>5</v>
      </c>
      <c r="F295" s="174">
        <f>3-1+1-1</f>
        <v>2</v>
      </c>
      <c r="G295" s="174">
        <f>2-1</f>
        <v>1</v>
      </c>
      <c r="H295" s="174">
        <f>2</f>
        <v>2</v>
      </c>
      <c r="I295" s="174" t="s">
        <v>0</v>
      </c>
      <c r="J295" s="274" t="s">
        <v>0</v>
      </c>
      <c r="K295" s="174" t="s">
        <v>0</v>
      </c>
      <c r="L295" s="174">
        <f>2+1-1</f>
        <v>2</v>
      </c>
      <c r="M295" s="174">
        <f>5-1-1-1+1-1+1++1-2-1+1+2-1-1-1+1+1-2-1+1+2+2</f>
        <v>5</v>
      </c>
      <c r="N295" s="174">
        <f>5-1-1+1-2-1-1+1+1+1-1+1+1-1+1</f>
        <v>4</v>
      </c>
      <c r="O295" s="174">
        <f>2-1+1+1+1-2</f>
        <v>2</v>
      </c>
      <c r="P295" s="187">
        <f>3-1+1</f>
        <v>3</v>
      </c>
      <c r="Q295" s="187">
        <f>3</f>
        <v>3</v>
      </c>
      <c r="R295" s="174" t="s">
        <v>0</v>
      </c>
      <c r="S295" s="276" t="s">
        <v>0</v>
      </c>
      <c r="T295" s="175">
        <f t="shared" si="120"/>
        <v>35</v>
      </c>
      <c r="U295" s="74"/>
      <c r="V295" s="74"/>
      <c r="W295" s="74"/>
      <c r="X295" s="74"/>
      <c r="Y295" s="74"/>
    </row>
    <row r="296" ht="14.25" customHeight="1">
      <c r="A296" s="74"/>
      <c r="B296" s="74"/>
      <c r="C296" s="74"/>
      <c r="D296" s="74"/>
      <c r="E296" s="74"/>
      <c r="F296" s="75" t="s">
        <v>0</v>
      </c>
      <c r="G296" s="74"/>
      <c r="H296" s="74"/>
      <c r="I296" s="74"/>
      <c r="J296" s="74"/>
      <c r="K296" s="74"/>
      <c r="L296" s="74"/>
      <c r="M296" s="74"/>
      <c r="N296" s="74"/>
      <c r="O296" s="74"/>
      <c r="P296" s="74"/>
      <c r="Q296" s="74"/>
      <c r="R296" s="74"/>
      <c r="S296" s="75" t="s">
        <v>0</v>
      </c>
      <c r="T296" s="102"/>
      <c r="U296" s="74"/>
      <c r="V296" s="74"/>
      <c r="W296" s="74"/>
      <c r="X296" s="74"/>
      <c r="Y296" s="74"/>
    </row>
    <row r="297" ht="14.25" customHeight="1">
      <c r="A297" s="277" t="s">
        <v>132</v>
      </c>
      <c r="B297" s="54"/>
      <c r="C297" s="54"/>
      <c r="D297" s="54"/>
      <c r="E297" s="54"/>
      <c r="F297" s="54"/>
      <c r="G297" s="54"/>
      <c r="H297" s="54"/>
      <c r="I297" s="54"/>
      <c r="J297" s="54"/>
      <c r="K297" s="70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74"/>
    </row>
    <row r="298" ht="14.25" customHeight="1">
      <c r="A298" s="265" t="s">
        <v>129</v>
      </c>
      <c r="B298" s="278">
        <v>2.0</v>
      </c>
      <c r="C298" s="256">
        <v>4.0</v>
      </c>
      <c r="D298" s="256">
        <v>6.0</v>
      </c>
      <c r="E298" s="256">
        <v>8.0</v>
      </c>
      <c r="F298" s="256">
        <v>10.0</v>
      </c>
      <c r="G298" s="256">
        <v>12.0</v>
      </c>
      <c r="H298" s="256">
        <v>14.0</v>
      </c>
      <c r="I298" s="256">
        <v>16.0</v>
      </c>
      <c r="J298" s="279">
        <v>18.0</v>
      </c>
      <c r="K298" s="267" t="s">
        <v>53</v>
      </c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74"/>
    </row>
    <row r="299" ht="14.25" customHeight="1">
      <c r="A299" s="135"/>
      <c r="B299" s="268">
        <f>13-1-1-2</f>
        <v>9</v>
      </c>
      <c r="C299" s="175">
        <f>0+5+1+3-1-2+1+1-1+1+1+1+2-1-1+1-1+1-1-1+1-1-1</f>
        <v>8</v>
      </c>
      <c r="D299" s="188">
        <f>0+2+1+5+1-1-1-2-1-1+2+1-1+1+2-1+1+1+1+1-2+2+1+2-1+2</f>
        <v>15</v>
      </c>
      <c r="E299" s="188">
        <f>0+2+5+2-1-2-1+1+1+1+1+2+1-1-1+1-2-1+2+1-1-1-1-2-1</f>
        <v>5</v>
      </c>
      <c r="F299" s="175">
        <f>10-1-2-1-1-2-1-1-1+1-1+2+5+2+1-2-1-1-1+1+1+1+1+2-1+1+1-2+1+1+1+2+1-3-1-2-2-1-1-1</f>
        <v>5</v>
      </c>
      <c r="G299" s="175">
        <f>10-1-1-1-2-5+5-2-1-1-1+1+2-1-1+5+1+1-1+1+2+1+1+1+1-1-2-1-2+1+2-1-1-3-1+1-1-1-1-1-2</f>
        <v>0</v>
      </c>
      <c r="H299" s="175">
        <f>10-1-1+1-1-1-1+1-1-3-1-1-1+1+1-1-1+1+2+1+1+3+1+1+1+2+1+1-4-1-2-3-1+2+1-1-2-4+1-1</f>
        <v>0</v>
      </c>
      <c r="I299" s="175">
        <f>11-4-1-2-1-1-1-1+1-1+1-1</f>
        <v>0</v>
      </c>
      <c r="J299" s="248">
        <f>10-2-1-1-2-4+2-2+1+4+1+2-2+1-6-1</f>
        <v>0</v>
      </c>
      <c r="K299" s="269">
        <f>SUM(B299:J299)</f>
        <v>42</v>
      </c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74"/>
    </row>
    <row r="300" ht="14.25" customHeight="1">
      <c r="A300" s="74"/>
      <c r="B300" s="74"/>
      <c r="C300" s="74"/>
      <c r="D300" s="74"/>
      <c r="E300" s="75" t="s">
        <v>0</v>
      </c>
      <c r="F300" s="74"/>
      <c r="G300" s="75" t="s">
        <v>0</v>
      </c>
      <c r="H300" s="74"/>
      <c r="I300" s="74"/>
      <c r="J300" s="75" t="s">
        <v>0</v>
      </c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74"/>
    </row>
    <row r="301" ht="14.25" customHeight="1">
      <c r="A301" s="202" t="s">
        <v>133</v>
      </c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4"/>
      <c r="U301" s="74"/>
      <c r="V301" s="74"/>
      <c r="W301" s="74"/>
      <c r="X301" s="74"/>
      <c r="Y301" s="74"/>
    </row>
    <row r="302" ht="14.25" customHeight="1">
      <c r="A302" s="203"/>
      <c r="B302" s="204" t="s">
        <v>2</v>
      </c>
      <c r="C302" s="54"/>
      <c r="D302" s="54"/>
      <c r="E302" s="54"/>
      <c r="F302" s="54"/>
      <c r="G302" s="54"/>
      <c r="H302" s="54"/>
      <c r="I302" s="54"/>
      <c r="J302" s="70"/>
      <c r="K302" s="204" t="s">
        <v>3</v>
      </c>
      <c r="L302" s="54"/>
      <c r="M302" s="54"/>
      <c r="N302" s="54"/>
      <c r="O302" s="54"/>
      <c r="P302" s="54"/>
      <c r="Q302" s="54"/>
      <c r="R302" s="54"/>
      <c r="S302" s="70"/>
      <c r="T302" s="102"/>
      <c r="U302" s="74"/>
      <c r="V302" s="74"/>
      <c r="W302" s="74"/>
      <c r="X302" s="74"/>
      <c r="Y302" s="74"/>
    </row>
    <row r="303" ht="14.25" customHeight="1">
      <c r="A303" s="273"/>
      <c r="B303" s="168" t="s">
        <v>5</v>
      </c>
      <c r="C303" s="168" t="s">
        <v>49</v>
      </c>
      <c r="D303" s="206" t="s">
        <v>50</v>
      </c>
      <c r="E303" s="168" t="s">
        <v>51</v>
      </c>
      <c r="F303" s="168" t="s">
        <v>52</v>
      </c>
      <c r="G303" s="168" t="s">
        <v>10</v>
      </c>
      <c r="H303" s="168" t="s">
        <v>11</v>
      </c>
      <c r="I303" s="168" t="s">
        <v>12</v>
      </c>
      <c r="J303" s="168" t="s">
        <v>13</v>
      </c>
      <c r="K303" s="169" t="s">
        <v>5</v>
      </c>
      <c r="L303" s="181" t="s">
        <v>49</v>
      </c>
      <c r="M303" s="169" t="s">
        <v>50</v>
      </c>
      <c r="N303" s="181" t="s">
        <v>51</v>
      </c>
      <c r="O303" s="169" t="s">
        <v>52</v>
      </c>
      <c r="P303" s="169" t="s">
        <v>10</v>
      </c>
      <c r="Q303" s="169" t="s">
        <v>11</v>
      </c>
      <c r="R303" s="169" t="s">
        <v>12</v>
      </c>
      <c r="S303" s="169" t="s">
        <v>13</v>
      </c>
      <c r="T303" s="182" t="s">
        <v>53</v>
      </c>
      <c r="U303" s="74"/>
      <c r="V303" s="74"/>
      <c r="W303" s="74"/>
      <c r="X303" s="74"/>
      <c r="Y303" s="74"/>
    </row>
    <row r="304" ht="14.25" customHeight="1">
      <c r="A304" s="154" t="s">
        <v>74</v>
      </c>
      <c r="B304" s="174" t="s">
        <v>134</v>
      </c>
      <c r="C304" s="174" t="s">
        <v>0</v>
      </c>
      <c r="D304" s="174" t="s">
        <v>0</v>
      </c>
      <c r="E304" s="274" t="s">
        <v>0</v>
      </c>
      <c r="F304" s="174" t="s">
        <v>0</v>
      </c>
      <c r="G304" s="174" t="s">
        <v>0</v>
      </c>
      <c r="H304" s="174" t="s">
        <v>0</v>
      </c>
      <c r="I304" s="174" t="s">
        <v>0</v>
      </c>
      <c r="J304" s="174" t="s">
        <v>0</v>
      </c>
      <c r="K304" s="174" t="s">
        <v>0</v>
      </c>
      <c r="L304" s="174" t="s">
        <v>0</v>
      </c>
      <c r="M304" s="174" t="s">
        <v>0</v>
      </c>
      <c r="N304" s="174">
        <f>2-1</f>
        <v>1</v>
      </c>
      <c r="O304" s="174" t="s">
        <v>0</v>
      </c>
      <c r="P304" s="274" t="s">
        <v>0</v>
      </c>
      <c r="Q304" s="174" t="s">
        <v>0</v>
      </c>
      <c r="R304" s="174" t="s">
        <v>0</v>
      </c>
      <c r="S304" s="276" t="s">
        <v>0</v>
      </c>
      <c r="T304" s="175">
        <f>SUM(B304:S304)</f>
        <v>1</v>
      </c>
      <c r="U304" s="74"/>
      <c r="V304" s="74"/>
      <c r="W304" s="74"/>
      <c r="X304" s="74"/>
      <c r="Y304" s="74"/>
    </row>
    <row r="305" ht="14.25" customHeight="1">
      <c r="A305" s="74"/>
      <c r="B305" s="74"/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74"/>
    </row>
    <row r="306" ht="14.25" customHeight="1">
      <c r="A306" s="74"/>
      <c r="B306" s="74"/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74"/>
    </row>
    <row r="307" ht="14.25" customHeight="1">
      <c r="A307" s="74"/>
      <c r="B307" s="74"/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74"/>
    </row>
    <row r="308" ht="14.25" customHeight="1">
      <c r="A308" s="74"/>
      <c r="B308" s="74"/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74"/>
    </row>
    <row r="309" ht="14.25" customHeight="1">
      <c r="A309" s="74"/>
      <c r="B309" s="74"/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74"/>
    </row>
    <row r="310" ht="14.25" customHeight="1">
      <c r="A310" s="74"/>
      <c r="B310" s="74"/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74"/>
    </row>
    <row r="311" ht="14.25" customHeight="1">
      <c r="A311" s="74"/>
      <c r="B311" s="74"/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74"/>
    </row>
    <row r="312" ht="14.25" customHeight="1">
      <c r="A312" s="74"/>
      <c r="B312" s="74"/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74"/>
    </row>
    <row r="313" ht="14.25" customHeight="1">
      <c r="A313" s="74"/>
      <c r="B313" s="74"/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74"/>
    </row>
    <row r="314" ht="14.25" customHeight="1">
      <c r="A314" s="74"/>
      <c r="B314" s="74"/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74"/>
    </row>
    <row r="315" ht="14.25" customHeight="1">
      <c r="A315" s="74"/>
      <c r="B315" s="74"/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74"/>
    </row>
    <row r="316" ht="14.25" customHeight="1">
      <c r="A316" s="74"/>
      <c r="B316" s="74"/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74"/>
    </row>
    <row r="317" ht="14.25" customHeight="1">
      <c r="A317" s="74"/>
      <c r="B317" s="74"/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  <c r="Q317" s="74"/>
      <c r="R317" s="74"/>
      <c r="S317" s="74"/>
      <c r="T317" s="74"/>
      <c r="U317" s="74"/>
      <c r="V317" s="74"/>
      <c r="W317" s="74"/>
      <c r="X317" s="74"/>
      <c r="Y317" s="74"/>
    </row>
    <row r="318" ht="14.25" customHeight="1">
      <c r="A318" s="74"/>
      <c r="B318" s="74"/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  <c r="Q318" s="74"/>
      <c r="R318" s="74"/>
      <c r="S318" s="74"/>
      <c r="T318" s="74"/>
      <c r="U318" s="74"/>
      <c r="V318" s="74"/>
      <c r="W318" s="74"/>
      <c r="X318" s="74"/>
      <c r="Y318" s="74"/>
    </row>
    <row r="319" ht="14.25" customHeight="1">
      <c r="A319" s="74"/>
      <c r="B319" s="74"/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  <c r="Q319" s="74"/>
      <c r="R319" s="74"/>
      <c r="S319" s="74"/>
      <c r="T319" s="74"/>
      <c r="U319" s="74"/>
      <c r="V319" s="74"/>
      <c r="W319" s="74"/>
      <c r="X319" s="74"/>
      <c r="Y319" s="74"/>
    </row>
    <row r="320" ht="14.25" customHeight="1">
      <c r="A320" s="74"/>
      <c r="B320" s="74"/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  <c r="Q320" s="74"/>
      <c r="R320" s="74"/>
      <c r="S320" s="74"/>
      <c r="T320" s="74"/>
      <c r="U320" s="74"/>
      <c r="V320" s="74"/>
      <c r="W320" s="74"/>
      <c r="X320" s="74"/>
      <c r="Y320" s="74"/>
    </row>
    <row r="321" ht="14.25" customHeight="1">
      <c r="A321" s="74"/>
      <c r="B321" s="74"/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  <c r="Q321" s="74"/>
      <c r="R321" s="74"/>
      <c r="S321" s="74"/>
      <c r="T321" s="74"/>
      <c r="U321" s="74"/>
      <c r="V321" s="74"/>
      <c r="W321" s="74"/>
      <c r="X321" s="74"/>
      <c r="Y321" s="74"/>
    </row>
    <row r="322" ht="14.25" customHeight="1">
      <c r="A322" s="74"/>
      <c r="B322" s="74"/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  <c r="Q322" s="74"/>
      <c r="R322" s="74"/>
      <c r="S322" s="74"/>
      <c r="T322" s="74"/>
      <c r="U322" s="74"/>
      <c r="V322" s="74"/>
      <c r="W322" s="74"/>
      <c r="X322" s="74"/>
      <c r="Y322" s="74"/>
    </row>
    <row r="323" ht="14.25" customHeight="1">
      <c r="A323" s="74"/>
      <c r="B323" s="74"/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  <c r="Q323" s="74"/>
      <c r="R323" s="74"/>
      <c r="S323" s="74"/>
      <c r="T323" s="74"/>
      <c r="U323" s="74"/>
      <c r="V323" s="74"/>
      <c r="W323" s="74"/>
      <c r="X323" s="74"/>
      <c r="Y323" s="74"/>
    </row>
    <row r="324" ht="14.25" customHeight="1">
      <c r="A324" s="74"/>
      <c r="B324" s="74"/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  <c r="Q324" s="74"/>
      <c r="R324" s="74"/>
      <c r="S324" s="74"/>
      <c r="T324" s="74"/>
      <c r="U324" s="74"/>
      <c r="V324" s="74"/>
      <c r="W324" s="74"/>
      <c r="X324" s="74"/>
      <c r="Y324" s="74"/>
    </row>
    <row r="325" ht="14.25" customHeight="1">
      <c r="A325" s="74"/>
      <c r="B325" s="74"/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  <c r="Q325" s="74"/>
      <c r="R325" s="74"/>
      <c r="S325" s="74"/>
      <c r="T325" s="74"/>
      <c r="U325" s="74"/>
      <c r="V325" s="74"/>
      <c r="W325" s="74"/>
      <c r="X325" s="74"/>
      <c r="Y325" s="74"/>
    </row>
    <row r="326" ht="14.25" customHeight="1">
      <c r="A326" s="74"/>
      <c r="B326" s="74"/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  <c r="Q326" s="74"/>
      <c r="R326" s="74"/>
      <c r="S326" s="74"/>
      <c r="T326" s="74"/>
      <c r="U326" s="74"/>
      <c r="V326" s="74"/>
      <c r="W326" s="74"/>
      <c r="X326" s="74"/>
      <c r="Y326" s="74"/>
    </row>
    <row r="327" ht="14.25" customHeight="1">
      <c r="A327" s="74"/>
      <c r="B327" s="74"/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  <c r="Q327" s="74"/>
      <c r="R327" s="74"/>
      <c r="S327" s="74"/>
      <c r="T327" s="74"/>
      <c r="U327" s="74"/>
      <c r="V327" s="74"/>
      <c r="W327" s="74"/>
      <c r="X327" s="74"/>
      <c r="Y327" s="74"/>
    </row>
    <row r="328" ht="14.25" customHeight="1">
      <c r="A328" s="74"/>
      <c r="B328" s="74"/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  <c r="Q328" s="74"/>
      <c r="R328" s="74"/>
      <c r="S328" s="74"/>
      <c r="T328" s="74"/>
      <c r="U328" s="74"/>
      <c r="V328" s="74"/>
      <c r="W328" s="74"/>
      <c r="X328" s="74"/>
      <c r="Y328" s="74"/>
    </row>
    <row r="329" ht="14.25" customHeight="1">
      <c r="A329" s="74"/>
      <c r="B329" s="74"/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  <c r="Q329" s="74"/>
      <c r="R329" s="74"/>
      <c r="S329" s="74"/>
      <c r="T329" s="74"/>
      <c r="U329" s="74"/>
      <c r="V329" s="74"/>
      <c r="W329" s="74"/>
      <c r="X329" s="74"/>
      <c r="Y329" s="74"/>
    </row>
    <row r="330" ht="14.25" customHeight="1">
      <c r="A330" s="74"/>
      <c r="B330" s="74"/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  <c r="Q330" s="74"/>
      <c r="R330" s="74"/>
      <c r="S330" s="74"/>
      <c r="T330" s="74"/>
      <c r="U330" s="74"/>
      <c r="V330" s="74"/>
      <c r="W330" s="74"/>
      <c r="X330" s="74"/>
      <c r="Y330" s="74"/>
    </row>
    <row r="331" ht="14.25" customHeight="1">
      <c r="A331" s="74"/>
      <c r="B331" s="74"/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  <c r="Q331" s="74"/>
      <c r="R331" s="74"/>
      <c r="S331" s="74"/>
      <c r="T331" s="74"/>
      <c r="U331" s="74"/>
      <c r="V331" s="74"/>
      <c r="W331" s="74"/>
      <c r="X331" s="74"/>
      <c r="Y331" s="74"/>
    </row>
    <row r="332" ht="14.25" customHeight="1">
      <c r="A332" s="74"/>
      <c r="B332" s="74"/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  <c r="Q332" s="74"/>
      <c r="R332" s="74"/>
      <c r="S332" s="74"/>
      <c r="T332" s="74"/>
      <c r="U332" s="74"/>
      <c r="V332" s="74"/>
      <c r="W332" s="74"/>
      <c r="X332" s="74"/>
      <c r="Y332" s="74"/>
    </row>
    <row r="333" ht="14.25" customHeight="1">
      <c r="A333" s="74"/>
      <c r="B333" s="74"/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  <c r="Q333" s="74"/>
      <c r="R333" s="74"/>
      <c r="S333" s="74"/>
      <c r="T333" s="74"/>
      <c r="U333" s="74"/>
      <c r="V333" s="74"/>
      <c r="W333" s="74"/>
      <c r="X333" s="74"/>
      <c r="Y333" s="74"/>
    </row>
    <row r="334" ht="14.25" customHeight="1">
      <c r="A334" s="74"/>
      <c r="B334" s="74"/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  <c r="Q334" s="74"/>
      <c r="R334" s="74"/>
      <c r="S334" s="74"/>
      <c r="T334" s="74"/>
      <c r="U334" s="74"/>
      <c r="V334" s="74"/>
      <c r="W334" s="74"/>
      <c r="X334" s="74"/>
      <c r="Y334" s="74"/>
    </row>
    <row r="335" ht="14.25" customHeight="1">
      <c r="A335" s="74"/>
      <c r="B335" s="74"/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  <c r="Q335" s="74"/>
      <c r="R335" s="74"/>
      <c r="S335" s="74"/>
      <c r="T335" s="74"/>
      <c r="U335" s="74"/>
      <c r="V335" s="74"/>
      <c r="W335" s="74"/>
      <c r="X335" s="74"/>
      <c r="Y335" s="74"/>
    </row>
    <row r="336" ht="14.25" customHeight="1">
      <c r="A336" s="74"/>
      <c r="B336" s="74"/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  <c r="Q336" s="74"/>
      <c r="R336" s="74"/>
      <c r="S336" s="74"/>
      <c r="T336" s="74"/>
      <c r="U336" s="74"/>
      <c r="V336" s="74"/>
      <c r="W336" s="74"/>
      <c r="X336" s="74"/>
      <c r="Y336" s="74"/>
    </row>
    <row r="337" ht="14.25" customHeight="1">
      <c r="A337" s="74"/>
      <c r="B337" s="74"/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  <c r="Q337" s="74"/>
      <c r="R337" s="74"/>
      <c r="S337" s="74"/>
      <c r="T337" s="74"/>
      <c r="U337" s="74"/>
      <c r="V337" s="74"/>
      <c r="W337" s="74"/>
      <c r="X337" s="74"/>
      <c r="Y337" s="74"/>
    </row>
    <row r="338" ht="14.25" customHeight="1">
      <c r="A338" s="74"/>
      <c r="B338" s="74"/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  <c r="Q338" s="74"/>
      <c r="R338" s="74"/>
      <c r="S338" s="74"/>
      <c r="T338" s="74"/>
      <c r="U338" s="74"/>
      <c r="V338" s="74"/>
      <c r="W338" s="74"/>
      <c r="X338" s="74"/>
      <c r="Y338" s="74"/>
    </row>
    <row r="339" ht="14.25" customHeight="1">
      <c r="A339" s="74"/>
      <c r="B339" s="74"/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  <c r="Q339" s="74"/>
      <c r="R339" s="74"/>
      <c r="S339" s="74"/>
      <c r="T339" s="74"/>
      <c r="U339" s="74"/>
      <c r="V339" s="74"/>
      <c r="W339" s="74"/>
      <c r="X339" s="74"/>
      <c r="Y339" s="74"/>
    </row>
    <row r="340" ht="14.25" customHeight="1">
      <c r="A340" s="74"/>
      <c r="B340" s="74"/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  <c r="Q340" s="74"/>
      <c r="R340" s="74"/>
      <c r="S340" s="74"/>
      <c r="T340" s="74"/>
      <c r="U340" s="74"/>
      <c r="V340" s="74"/>
      <c r="W340" s="74"/>
      <c r="X340" s="74"/>
      <c r="Y340" s="74"/>
    </row>
    <row r="341" ht="14.25" customHeight="1">
      <c r="A341" s="74"/>
      <c r="B341" s="74"/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  <c r="Q341" s="74"/>
      <c r="R341" s="74"/>
      <c r="S341" s="74"/>
      <c r="T341" s="74"/>
      <c r="U341" s="74"/>
      <c r="V341" s="74"/>
      <c r="W341" s="74"/>
      <c r="X341" s="74"/>
      <c r="Y341" s="74"/>
    </row>
    <row r="342" ht="14.25" customHeight="1">
      <c r="A342" s="74"/>
      <c r="B342" s="74"/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  <c r="Q342" s="74"/>
      <c r="R342" s="74"/>
      <c r="S342" s="74"/>
      <c r="T342" s="74"/>
      <c r="U342" s="74"/>
      <c r="V342" s="74"/>
      <c r="W342" s="74"/>
      <c r="X342" s="74"/>
      <c r="Y342" s="74"/>
    </row>
    <row r="343" ht="14.25" customHeight="1">
      <c r="A343" s="74"/>
      <c r="B343" s="74"/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  <c r="Q343" s="74"/>
      <c r="R343" s="74"/>
      <c r="S343" s="74"/>
      <c r="T343" s="74"/>
      <c r="U343" s="74"/>
      <c r="V343" s="74"/>
      <c r="W343" s="74"/>
      <c r="X343" s="74"/>
      <c r="Y343" s="74"/>
    </row>
    <row r="344" ht="14.25" customHeight="1">
      <c r="A344" s="74"/>
      <c r="B344" s="74"/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  <c r="R344" s="74"/>
      <c r="S344" s="74"/>
      <c r="T344" s="74"/>
      <c r="U344" s="74"/>
      <c r="V344" s="74"/>
      <c r="W344" s="74"/>
      <c r="X344" s="74"/>
      <c r="Y344" s="74"/>
    </row>
    <row r="345" ht="14.25" customHeight="1">
      <c r="A345" s="74"/>
      <c r="B345" s="74"/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  <c r="Q345" s="74"/>
      <c r="R345" s="74"/>
      <c r="S345" s="74"/>
      <c r="T345" s="74"/>
      <c r="U345" s="74"/>
      <c r="V345" s="74"/>
      <c r="W345" s="74"/>
      <c r="X345" s="74"/>
      <c r="Y345" s="74"/>
    </row>
    <row r="346" ht="14.25" customHeight="1">
      <c r="A346" s="74"/>
      <c r="B346" s="74"/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/>
      <c r="R346" s="74"/>
      <c r="S346" s="74"/>
      <c r="T346" s="74"/>
      <c r="U346" s="74"/>
      <c r="V346" s="74"/>
      <c r="W346" s="74"/>
      <c r="X346" s="74"/>
      <c r="Y346" s="74"/>
    </row>
    <row r="347" ht="14.25" customHeight="1">
      <c r="A347" s="74"/>
      <c r="B347" s="74"/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  <c r="Q347" s="74"/>
      <c r="R347" s="74"/>
      <c r="S347" s="74"/>
      <c r="T347" s="74"/>
      <c r="U347" s="74"/>
      <c r="V347" s="74"/>
      <c r="W347" s="74"/>
      <c r="X347" s="74"/>
      <c r="Y347" s="74"/>
    </row>
    <row r="348" ht="14.25" customHeight="1">
      <c r="A348" s="74"/>
      <c r="B348" s="74"/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  <c r="Q348" s="74"/>
      <c r="R348" s="74"/>
      <c r="S348" s="74"/>
      <c r="T348" s="74"/>
      <c r="U348" s="74"/>
      <c r="V348" s="74"/>
      <c r="W348" s="74"/>
      <c r="X348" s="74"/>
      <c r="Y348" s="74"/>
    </row>
    <row r="349" ht="14.25" customHeight="1">
      <c r="A349" s="74"/>
      <c r="B349" s="74"/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  <c r="Q349" s="74"/>
      <c r="R349" s="74"/>
      <c r="S349" s="74"/>
      <c r="T349" s="74"/>
      <c r="U349" s="74"/>
      <c r="V349" s="74"/>
      <c r="W349" s="74"/>
      <c r="X349" s="74"/>
      <c r="Y349" s="74"/>
    </row>
    <row r="350" ht="14.25" customHeight="1">
      <c r="A350" s="74"/>
      <c r="B350" s="74"/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  <c r="Q350" s="74"/>
      <c r="R350" s="74"/>
      <c r="S350" s="74"/>
      <c r="T350" s="74"/>
      <c r="U350" s="74"/>
      <c r="V350" s="74"/>
      <c r="W350" s="74"/>
      <c r="X350" s="74"/>
      <c r="Y350" s="74"/>
    </row>
    <row r="351" ht="14.25" customHeight="1">
      <c r="A351" s="74"/>
      <c r="B351" s="74"/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  <c r="Q351" s="74"/>
      <c r="R351" s="74"/>
      <c r="S351" s="74"/>
      <c r="T351" s="74"/>
      <c r="U351" s="74"/>
      <c r="V351" s="74"/>
      <c r="W351" s="74"/>
      <c r="X351" s="74"/>
      <c r="Y351" s="74"/>
    </row>
    <row r="352" ht="14.25" customHeight="1">
      <c r="A352" s="74"/>
      <c r="B352" s="74"/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  <c r="Q352" s="74"/>
      <c r="R352" s="74"/>
      <c r="S352" s="74"/>
      <c r="T352" s="74"/>
      <c r="U352" s="74"/>
      <c r="V352" s="74"/>
      <c r="W352" s="74"/>
      <c r="X352" s="74"/>
      <c r="Y352" s="74"/>
    </row>
    <row r="353" ht="14.25" customHeight="1">
      <c r="A353" s="74"/>
      <c r="B353" s="74"/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  <c r="Q353" s="74"/>
      <c r="R353" s="74"/>
      <c r="S353" s="74"/>
      <c r="T353" s="74"/>
      <c r="U353" s="74"/>
      <c r="V353" s="74"/>
      <c r="W353" s="74"/>
      <c r="X353" s="74"/>
      <c r="Y353" s="74"/>
    </row>
    <row r="354" ht="14.25" customHeight="1">
      <c r="A354" s="74"/>
      <c r="B354" s="74"/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  <c r="Q354" s="74"/>
      <c r="R354" s="74"/>
      <c r="S354" s="74"/>
      <c r="T354" s="74"/>
      <c r="U354" s="74"/>
      <c r="V354" s="74"/>
      <c r="W354" s="74"/>
      <c r="X354" s="74"/>
      <c r="Y354" s="74"/>
    </row>
    <row r="355" ht="14.25" customHeight="1">
      <c r="A355" s="74"/>
      <c r="B355" s="74"/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  <c r="Q355" s="74"/>
      <c r="R355" s="74"/>
      <c r="S355" s="74"/>
      <c r="T355" s="74"/>
      <c r="U355" s="74"/>
      <c r="V355" s="74"/>
      <c r="W355" s="74"/>
      <c r="X355" s="74"/>
      <c r="Y355" s="74"/>
    </row>
    <row r="356" ht="14.25" customHeight="1">
      <c r="A356" s="74"/>
      <c r="B356" s="74"/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  <c r="Q356" s="74"/>
      <c r="R356" s="74"/>
      <c r="S356" s="74"/>
      <c r="T356" s="74"/>
      <c r="U356" s="74"/>
      <c r="V356" s="74"/>
      <c r="W356" s="74"/>
      <c r="X356" s="74"/>
      <c r="Y356" s="74"/>
    </row>
    <row r="357" ht="14.25" customHeight="1">
      <c r="A357" s="74"/>
      <c r="B357" s="74"/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  <c r="Q357" s="74"/>
      <c r="R357" s="74"/>
      <c r="S357" s="74"/>
      <c r="T357" s="74"/>
      <c r="U357" s="74"/>
      <c r="V357" s="74"/>
      <c r="W357" s="74"/>
      <c r="X357" s="74"/>
      <c r="Y357" s="74"/>
    </row>
    <row r="358" ht="14.25" customHeight="1">
      <c r="A358" s="74"/>
      <c r="B358" s="74"/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  <c r="Q358" s="74"/>
      <c r="R358" s="74"/>
      <c r="S358" s="74"/>
      <c r="T358" s="74"/>
      <c r="U358" s="74"/>
      <c r="V358" s="74"/>
      <c r="W358" s="74"/>
      <c r="X358" s="74"/>
      <c r="Y358" s="74"/>
    </row>
    <row r="359" ht="14.25" customHeight="1">
      <c r="A359" s="74"/>
      <c r="B359" s="74"/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  <c r="Q359" s="74"/>
      <c r="R359" s="74"/>
      <c r="S359" s="74"/>
      <c r="T359" s="74"/>
      <c r="U359" s="74"/>
      <c r="V359" s="74"/>
      <c r="W359" s="74"/>
      <c r="X359" s="74"/>
      <c r="Y359" s="74"/>
    </row>
    <row r="360" ht="14.25" customHeight="1">
      <c r="A360" s="74"/>
      <c r="B360" s="74"/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  <c r="Q360" s="74"/>
      <c r="R360" s="74"/>
      <c r="S360" s="74"/>
      <c r="T360" s="74"/>
      <c r="U360" s="74"/>
      <c r="V360" s="74"/>
      <c r="W360" s="74"/>
      <c r="X360" s="74"/>
      <c r="Y360" s="74"/>
    </row>
    <row r="361" ht="14.25" customHeight="1">
      <c r="A361" s="74"/>
      <c r="B361" s="74"/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  <c r="Q361" s="74"/>
      <c r="R361" s="74"/>
      <c r="S361" s="74"/>
      <c r="T361" s="74"/>
      <c r="U361" s="74"/>
      <c r="V361" s="74"/>
      <c r="W361" s="74"/>
      <c r="X361" s="74"/>
      <c r="Y361" s="74"/>
    </row>
    <row r="362" ht="14.25" customHeight="1">
      <c r="A362" s="74"/>
      <c r="B362" s="74"/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  <c r="Q362" s="74"/>
      <c r="R362" s="74"/>
      <c r="S362" s="74"/>
      <c r="T362" s="74"/>
      <c r="U362" s="74"/>
      <c r="V362" s="74"/>
      <c r="W362" s="74"/>
      <c r="X362" s="74"/>
      <c r="Y362" s="74"/>
    </row>
    <row r="363" ht="14.25" customHeight="1">
      <c r="A363" s="74"/>
      <c r="B363" s="74"/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  <c r="Q363" s="74"/>
      <c r="R363" s="74"/>
      <c r="S363" s="74"/>
      <c r="T363" s="74"/>
      <c r="U363" s="74"/>
      <c r="V363" s="74"/>
      <c r="W363" s="74"/>
      <c r="X363" s="74"/>
      <c r="Y363" s="74"/>
    </row>
    <row r="364" ht="14.25" customHeight="1">
      <c r="A364" s="74"/>
      <c r="B364" s="74"/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  <c r="Q364" s="74"/>
      <c r="R364" s="74"/>
      <c r="S364" s="74"/>
      <c r="T364" s="74"/>
      <c r="U364" s="74"/>
      <c r="V364" s="74"/>
      <c r="W364" s="74"/>
      <c r="X364" s="74"/>
      <c r="Y364" s="74"/>
    </row>
    <row r="365" ht="14.25" customHeight="1">
      <c r="A365" s="74"/>
      <c r="B365" s="74"/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  <c r="Q365" s="74"/>
      <c r="R365" s="74"/>
      <c r="S365" s="74"/>
      <c r="T365" s="74"/>
      <c r="U365" s="74"/>
      <c r="V365" s="74"/>
      <c r="W365" s="74"/>
      <c r="X365" s="74"/>
      <c r="Y365" s="74"/>
    </row>
    <row r="366" ht="14.25" customHeight="1">
      <c r="A366" s="74"/>
      <c r="B366" s="74"/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  <c r="Q366" s="74"/>
      <c r="R366" s="74"/>
      <c r="S366" s="74"/>
      <c r="T366" s="74"/>
      <c r="U366" s="74"/>
      <c r="V366" s="74"/>
      <c r="W366" s="74"/>
      <c r="X366" s="74"/>
      <c r="Y366" s="74"/>
    </row>
    <row r="367" ht="14.25" customHeight="1">
      <c r="A367" s="74"/>
      <c r="B367" s="74"/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  <c r="Q367" s="74"/>
      <c r="R367" s="74"/>
      <c r="S367" s="74"/>
      <c r="T367" s="74"/>
      <c r="U367" s="74"/>
      <c r="V367" s="74"/>
      <c r="W367" s="74"/>
      <c r="X367" s="74"/>
      <c r="Y367" s="74"/>
    </row>
    <row r="368" ht="14.25" customHeight="1">
      <c r="A368" s="74"/>
      <c r="B368" s="74"/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  <c r="Q368" s="74"/>
      <c r="R368" s="74"/>
      <c r="S368" s="74"/>
      <c r="T368" s="74"/>
      <c r="U368" s="74"/>
      <c r="V368" s="74"/>
      <c r="W368" s="74"/>
      <c r="X368" s="74"/>
      <c r="Y368" s="74"/>
    </row>
    <row r="369" ht="14.25" customHeight="1">
      <c r="A369" s="74"/>
      <c r="B369" s="74"/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  <c r="Q369" s="74"/>
      <c r="R369" s="74"/>
      <c r="S369" s="74"/>
      <c r="T369" s="74"/>
      <c r="U369" s="74"/>
      <c r="V369" s="74"/>
      <c r="W369" s="74"/>
      <c r="X369" s="74"/>
      <c r="Y369" s="74"/>
    </row>
    <row r="370" ht="14.25" customHeight="1">
      <c r="A370" s="74"/>
      <c r="B370" s="74"/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  <c r="R370" s="74"/>
      <c r="S370" s="74"/>
      <c r="T370" s="74"/>
      <c r="U370" s="74"/>
      <c r="V370" s="74"/>
      <c r="W370" s="74"/>
      <c r="X370" s="74"/>
      <c r="Y370" s="74"/>
    </row>
    <row r="371" ht="14.25" customHeight="1">
      <c r="A371" s="74"/>
      <c r="B371" s="74"/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  <c r="Q371" s="74"/>
      <c r="R371" s="74"/>
      <c r="S371" s="74"/>
      <c r="T371" s="74"/>
      <c r="U371" s="74"/>
      <c r="V371" s="74"/>
      <c r="W371" s="74"/>
      <c r="X371" s="74"/>
      <c r="Y371" s="74"/>
    </row>
    <row r="372" ht="14.25" customHeight="1">
      <c r="A372" s="74"/>
      <c r="B372" s="74"/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  <c r="Q372" s="74"/>
      <c r="R372" s="74"/>
      <c r="S372" s="74"/>
      <c r="T372" s="74"/>
      <c r="U372" s="74"/>
      <c r="V372" s="74"/>
      <c r="W372" s="74"/>
      <c r="X372" s="74"/>
      <c r="Y372" s="74"/>
    </row>
    <row r="373" ht="14.25" customHeight="1">
      <c r="A373" s="74"/>
      <c r="B373" s="74"/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  <c r="Q373" s="74"/>
      <c r="R373" s="74"/>
      <c r="S373" s="74"/>
      <c r="T373" s="74"/>
      <c r="U373" s="74"/>
      <c r="V373" s="74"/>
      <c r="W373" s="74"/>
      <c r="X373" s="74"/>
      <c r="Y373" s="74"/>
    </row>
    <row r="374" ht="14.25" customHeight="1">
      <c r="A374" s="74"/>
      <c r="B374" s="74"/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  <c r="Q374" s="74"/>
      <c r="R374" s="74"/>
      <c r="S374" s="74"/>
      <c r="T374" s="74"/>
      <c r="U374" s="74"/>
      <c r="V374" s="74"/>
      <c r="W374" s="74"/>
      <c r="X374" s="74"/>
      <c r="Y374" s="74"/>
    </row>
    <row r="375" ht="14.25" customHeight="1">
      <c r="A375" s="74"/>
      <c r="B375" s="74"/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  <c r="Q375" s="74"/>
      <c r="R375" s="74"/>
      <c r="S375" s="74"/>
      <c r="T375" s="74"/>
      <c r="U375" s="74"/>
      <c r="V375" s="74"/>
      <c r="W375" s="74"/>
      <c r="X375" s="74"/>
      <c r="Y375" s="74"/>
    </row>
    <row r="376" ht="14.25" customHeight="1">
      <c r="A376" s="74"/>
      <c r="B376" s="74"/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  <c r="Q376" s="74"/>
      <c r="R376" s="74"/>
      <c r="S376" s="74"/>
      <c r="T376" s="74"/>
      <c r="U376" s="74"/>
      <c r="V376" s="74"/>
      <c r="W376" s="74"/>
      <c r="X376" s="74"/>
      <c r="Y376" s="74"/>
    </row>
    <row r="377" ht="14.25" customHeight="1">
      <c r="A377" s="74"/>
      <c r="B377" s="74"/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  <c r="Q377" s="74"/>
      <c r="R377" s="74"/>
      <c r="S377" s="74"/>
      <c r="T377" s="74"/>
      <c r="U377" s="74"/>
      <c r="V377" s="74"/>
      <c r="W377" s="74"/>
      <c r="X377" s="74"/>
      <c r="Y377" s="74"/>
    </row>
    <row r="378" ht="14.25" customHeight="1">
      <c r="A378" s="74"/>
      <c r="B378" s="74"/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  <c r="Q378" s="74"/>
      <c r="R378" s="74"/>
      <c r="S378" s="74"/>
      <c r="T378" s="74"/>
      <c r="U378" s="74"/>
      <c r="V378" s="74"/>
      <c r="W378" s="74"/>
      <c r="X378" s="74"/>
      <c r="Y378" s="74"/>
    </row>
    <row r="379" ht="14.25" customHeight="1">
      <c r="A379" s="74"/>
      <c r="B379" s="74"/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  <c r="Q379" s="74"/>
      <c r="R379" s="74"/>
      <c r="S379" s="74"/>
      <c r="T379" s="74"/>
      <c r="U379" s="74"/>
      <c r="V379" s="74"/>
      <c r="W379" s="74"/>
      <c r="X379" s="74"/>
      <c r="Y379" s="74"/>
    </row>
    <row r="380" ht="14.25" customHeight="1">
      <c r="A380" s="74"/>
      <c r="B380" s="74"/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  <c r="Q380" s="74"/>
      <c r="R380" s="74"/>
      <c r="S380" s="74"/>
      <c r="T380" s="74"/>
      <c r="U380" s="74"/>
      <c r="V380" s="74"/>
      <c r="W380" s="74"/>
      <c r="X380" s="74"/>
      <c r="Y380" s="74"/>
    </row>
    <row r="381" ht="14.25" customHeight="1">
      <c r="A381" s="74"/>
      <c r="B381" s="74"/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  <c r="Q381" s="74"/>
      <c r="R381" s="74"/>
      <c r="S381" s="74"/>
      <c r="T381" s="74"/>
      <c r="U381" s="74"/>
      <c r="V381" s="74"/>
      <c r="W381" s="74"/>
      <c r="X381" s="74"/>
      <c r="Y381" s="74"/>
    </row>
    <row r="382" ht="14.25" customHeight="1">
      <c r="A382" s="74"/>
      <c r="B382" s="74"/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  <c r="Q382" s="74"/>
      <c r="R382" s="74"/>
      <c r="S382" s="74"/>
      <c r="T382" s="74"/>
      <c r="U382" s="74"/>
      <c r="V382" s="74"/>
      <c r="W382" s="74"/>
      <c r="X382" s="74"/>
      <c r="Y382" s="74"/>
    </row>
    <row r="383" ht="14.25" customHeight="1">
      <c r="A383" s="74"/>
      <c r="B383" s="74"/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  <c r="Q383" s="74"/>
      <c r="R383" s="74"/>
      <c r="S383" s="74"/>
      <c r="T383" s="74"/>
      <c r="U383" s="74"/>
      <c r="V383" s="74"/>
      <c r="W383" s="74"/>
      <c r="X383" s="74"/>
      <c r="Y383" s="74"/>
    </row>
    <row r="384" ht="14.25" customHeight="1">
      <c r="A384" s="74"/>
      <c r="B384" s="74"/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  <c r="Q384" s="74"/>
      <c r="R384" s="74"/>
      <c r="S384" s="74"/>
      <c r="T384" s="74"/>
      <c r="U384" s="74"/>
      <c r="V384" s="74"/>
      <c r="W384" s="74"/>
      <c r="X384" s="74"/>
      <c r="Y384" s="74"/>
    </row>
    <row r="385" ht="14.25" customHeight="1">
      <c r="A385" s="74"/>
      <c r="B385" s="74"/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  <c r="Q385" s="74"/>
      <c r="R385" s="74"/>
      <c r="S385" s="74"/>
      <c r="T385" s="74"/>
      <c r="U385" s="74"/>
      <c r="V385" s="74"/>
      <c r="W385" s="74"/>
      <c r="X385" s="74"/>
      <c r="Y385" s="74"/>
    </row>
    <row r="386" ht="14.25" customHeight="1">
      <c r="A386" s="74"/>
      <c r="B386" s="74"/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  <c r="Q386" s="74"/>
      <c r="R386" s="74"/>
      <c r="S386" s="74"/>
      <c r="T386" s="74"/>
      <c r="U386" s="74"/>
      <c r="V386" s="74"/>
      <c r="W386" s="74"/>
      <c r="X386" s="74"/>
      <c r="Y386" s="74"/>
    </row>
    <row r="387" ht="14.25" customHeight="1">
      <c r="A387" s="74"/>
      <c r="B387" s="74"/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  <c r="Q387" s="74"/>
      <c r="R387" s="74"/>
      <c r="S387" s="74"/>
      <c r="T387" s="74"/>
      <c r="U387" s="74"/>
      <c r="V387" s="74"/>
      <c r="W387" s="74"/>
      <c r="X387" s="74"/>
      <c r="Y387" s="74"/>
    </row>
    <row r="388" ht="14.25" customHeight="1">
      <c r="A388" s="74"/>
      <c r="B388" s="74"/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  <c r="Q388" s="74"/>
      <c r="R388" s="74"/>
      <c r="S388" s="74"/>
      <c r="T388" s="74"/>
      <c r="U388" s="74"/>
      <c r="V388" s="74"/>
      <c r="W388" s="74"/>
      <c r="X388" s="74"/>
      <c r="Y388" s="74"/>
    </row>
    <row r="389" ht="14.25" customHeight="1">
      <c r="A389" s="74"/>
      <c r="B389" s="74"/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  <c r="Q389" s="74"/>
      <c r="R389" s="74"/>
      <c r="S389" s="74"/>
      <c r="T389" s="74"/>
      <c r="U389" s="74"/>
      <c r="V389" s="74"/>
      <c r="W389" s="74"/>
      <c r="X389" s="74"/>
      <c r="Y389" s="74"/>
    </row>
    <row r="390" ht="14.25" customHeight="1">
      <c r="A390" s="74"/>
      <c r="B390" s="74"/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  <c r="Q390" s="74"/>
      <c r="R390" s="74"/>
      <c r="S390" s="74"/>
      <c r="T390" s="74"/>
      <c r="U390" s="74"/>
      <c r="V390" s="74"/>
      <c r="W390" s="74"/>
      <c r="X390" s="74"/>
      <c r="Y390" s="74"/>
    </row>
    <row r="391" ht="14.25" customHeight="1">
      <c r="A391" s="74"/>
      <c r="B391" s="74"/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  <c r="Q391" s="74"/>
      <c r="R391" s="74"/>
      <c r="S391" s="74"/>
      <c r="T391" s="74"/>
      <c r="U391" s="74"/>
      <c r="V391" s="74"/>
      <c r="W391" s="74"/>
      <c r="X391" s="74"/>
      <c r="Y391" s="74"/>
    </row>
    <row r="392" ht="14.25" customHeight="1">
      <c r="A392" s="74"/>
      <c r="B392" s="74"/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  <c r="Q392" s="74"/>
      <c r="R392" s="74"/>
      <c r="S392" s="74"/>
      <c r="T392" s="74"/>
      <c r="U392" s="74"/>
      <c r="V392" s="74"/>
      <c r="W392" s="74"/>
      <c r="X392" s="74"/>
      <c r="Y392" s="74"/>
    </row>
    <row r="393" ht="14.25" customHeight="1">
      <c r="A393" s="74"/>
      <c r="B393" s="74"/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  <c r="Q393" s="74"/>
      <c r="R393" s="74"/>
      <c r="S393" s="74"/>
      <c r="T393" s="74"/>
      <c r="U393" s="74"/>
      <c r="V393" s="74"/>
      <c r="W393" s="74"/>
      <c r="X393" s="74"/>
      <c r="Y393" s="74"/>
    </row>
    <row r="394" ht="14.25" customHeight="1">
      <c r="A394" s="74"/>
      <c r="B394" s="74"/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  <c r="Q394" s="74"/>
      <c r="R394" s="74"/>
      <c r="S394" s="74"/>
      <c r="T394" s="74"/>
      <c r="U394" s="74"/>
      <c r="V394" s="74"/>
      <c r="W394" s="74"/>
      <c r="X394" s="74"/>
      <c r="Y394" s="74"/>
    </row>
    <row r="395" ht="14.25" customHeight="1">
      <c r="A395" s="74"/>
      <c r="B395" s="74"/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  <c r="Q395" s="74"/>
      <c r="R395" s="74"/>
      <c r="S395" s="74"/>
      <c r="T395" s="74"/>
      <c r="U395" s="74"/>
      <c r="V395" s="74"/>
      <c r="W395" s="74"/>
      <c r="X395" s="74"/>
      <c r="Y395" s="74"/>
    </row>
    <row r="396" ht="14.25" customHeight="1">
      <c r="A396" s="74"/>
      <c r="B396" s="74"/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  <c r="Q396" s="74"/>
      <c r="R396" s="74"/>
      <c r="S396" s="74"/>
      <c r="T396" s="74"/>
      <c r="U396" s="74"/>
      <c r="V396" s="74"/>
      <c r="W396" s="74"/>
      <c r="X396" s="74"/>
      <c r="Y396" s="74"/>
    </row>
    <row r="397" ht="14.25" customHeight="1">
      <c r="A397" s="74"/>
      <c r="B397" s="74"/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  <c r="Q397" s="74"/>
      <c r="R397" s="74"/>
      <c r="S397" s="74"/>
      <c r="T397" s="74"/>
      <c r="U397" s="74"/>
      <c r="V397" s="74"/>
      <c r="W397" s="74"/>
      <c r="X397" s="74"/>
      <c r="Y397" s="74"/>
    </row>
    <row r="398" ht="14.25" customHeight="1">
      <c r="A398" s="74"/>
      <c r="B398" s="74"/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  <c r="Q398" s="74"/>
      <c r="R398" s="74"/>
      <c r="S398" s="74"/>
      <c r="T398" s="74"/>
      <c r="U398" s="74"/>
      <c r="V398" s="74"/>
      <c r="W398" s="74"/>
      <c r="X398" s="74"/>
      <c r="Y398" s="74"/>
    </row>
    <row r="399" ht="14.25" customHeight="1">
      <c r="A399" s="74"/>
      <c r="B399" s="74"/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  <c r="Q399" s="74"/>
      <c r="R399" s="74"/>
      <c r="S399" s="74"/>
      <c r="T399" s="74"/>
      <c r="U399" s="74"/>
      <c r="V399" s="74"/>
      <c r="W399" s="74"/>
      <c r="X399" s="74"/>
      <c r="Y399" s="74"/>
    </row>
    <row r="400" ht="14.25" customHeight="1">
      <c r="A400" s="74"/>
      <c r="B400" s="74"/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  <c r="Q400" s="74"/>
      <c r="R400" s="74"/>
      <c r="S400" s="74"/>
      <c r="T400" s="74"/>
      <c r="U400" s="74"/>
      <c r="V400" s="74"/>
      <c r="W400" s="74"/>
      <c r="X400" s="74"/>
      <c r="Y400" s="74"/>
    </row>
    <row r="401" ht="14.25" customHeight="1">
      <c r="A401" s="74"/>
      <c r="B401" s="74"/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  <c r="Q401" s="74"/>
      <c r="R401" s="74"/>
      <c r="S401" s="74"/>
      <c r="T401" s="74"/>
      <c r="U401" s="74"/>
      <c r="V401" s="74"/>
      <c r="W401" s="74"/>
      <c r="X401" s="74"/>
      <c r="Y401" s="74"/>
    </row>
    <row r="402" ht="14.25" customHeight="1">
      <c r="A402" s="74"/>
      <c r="B402" s="74"/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  <c r="Q402" s="74"/>
      <c r="R402" s="74"/>
      <c r="S402" s="74"/>
      <c r="T402" s="74"/>
      <c r="U402" s="74"/>
      <c r="V402" s="74"/>
      <c r="W402" s="74"/>
      <c r="X402" s="74"/>
      <c r="Y402" s="74"/>
    </row>
    <row r="403" ht="14.25" customHeight="1">
      <c r="A403" s="74"/>
      <c r="B403" s="74"/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  <c r="Q403" s="74"/>
      <c r="R403" s="74"/>
      <c r="S403" s="74"/>
      <c r="T403" s="74"/>
      <c r="U403" s="74"/>
      <c r="V403" s="74"/>
      <c r="W403" s="74"/>
      <c r="X403" s="74"/>
      <c r="Y403" s="74"/>
    </row>
    <row r="404" ht="14.25" customHeight="1">
      <c r="A404" s="74"/>
      <c r="B404" s="74"/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  <c r="Q404" s="74"/>
      <c r="R404" s="74"/>
      <c r="S404" s="74"/>
      <c r="T404" s="74"/>
      <c r="U404" s="74"/>
      <c r="V404" s="74"/>
      <c r="W404" s="74"/>
      <c r="X404" s="74"/>
      <c r="Y404" s="74"/>
    </row>
    <row r="405" ht="14.25" customHeight="1">
      <c r="A405" s="74"/>
      <c r="B405" s="74"/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  <c r="Q405" s="74"/>
      <c r="R405" s="74"/>
      <c r="S405" s="74"/>
      <c r="T405" s="74"/>
      <c r="U405" s="74"/>
      <c r="V405" s="74"/>
      <c r="W405" s="74"/>
      <c r="X405" s="74"/>
      <c r="Y405" s="74"/>
    </row>
    <row r="406" ht="14.25" customHeight="1">
      <c r="A406" s="74"/>
      <c r="B406" s="74"/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  <c r="Q406" s="74"/>
      <c r="R406" s="74"/>
      <c r="S406" s="74"/>
      <c r="T406" s="74"/>
      <c r="U406" s="74"/>
      <c r="V406" s="74"/>
      <c r="W406" s="74"/>
      <c r="X406" s="74"/>
      <c r="Y406" s="74"/>
    </row>
    <row r="407" ht="14.25" customHeight="1">
      <c r="A407" s="74"/>
      <c r="B407" s="74"/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  <c r="Q407" s="74"/>
      <c r="R407" s="74"/>
      <c r="S407" s="74"/>
      <c r="T407" s="74"/>
      <c r="U407" s="74"/>
      <c r="V407" s="74"/>
      <c r="W407" s="74"/>
      <c r="X407" s="74"/>
      <c r="Y407" s="74"/>
    </row>
    <row r="408" ht="14.25" customHeight="1">
      <c r="A408" s="74"/>
      <c r="B408" s="74"/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  <c r="Q408" s="74"/>
      <c r="R408" s="74"/>
      <c r="S408" s="74"/>
      <c r="T408" s="74"/>
      <c r="U408" s="74"/>
      <c r="V408" s="74"/>
      <c r="W408" s="74"/>
      <c r="X408" s="74"/>
      <c r="Y408" s="74"/>
    </row>
    <row r="409" ht="14.25" customHeight="1">
      <c r="A409" s="74"/>
      <c r="B409" s="74"/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  <c r="Q409" s="74"/>
      <c r="R409" s="74"/>
      <c r="S409" s="74"/>
      <c r="T409" s="74"/>
      <c r="U409" s="74"/>
      <c r="V409" s="74"/>
      <c r="W409" s="74"/>
      <c r="X409" s="74"/>
      <c r="Y409" s="74"/>
    </row>
    <row r="410" ht="14.25" customHeight="1">
      <c r="A410" s="74"/>
      <c r="B410" s="74"/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  <c r="Q410" s="74"/>
      <c r="R410" s="74"/>
      <c r="S410" s="74"/>
      <c r="T410" s="74"/>
      <c r="U410" s="74"/>
      <c r="V410" s="74"/>
      <c r="W410" s="74"/>
      <c r="X410" s="74"/>
      <c r="Y410" s="74"/>
    </row>
    <row r="411" ht="14.25" customHeight="1">
      <c r="A411" s="74"/>
      <c r="B411" s="74"/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  <c r="Q411" s="74"/>
      <c r="R411" s="74"/>
      <c r="S411" s="74"/>
      <c r="T411" s="74"/>
      <c r="U411" s="74"/>
      <c r="V411" s="74"/>
      <c r="W411" s="74"/>
      <c r="X411" s="74"/>
      <c r="Y411" s="74"/>
    </row>
    <row r="412" ht="14.25" customHeight="1">
      <c r="A412" s="74"/>
      <c r="B412" s="74"/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  <c r="Q412" s="74"/>
      <c r="R412" s="74"/>
      <c r="S412" s="74"/>
      <c r="T412" s="74"/>
      <c r="U412" s="74"/>
      <c r="V412" s="74"/>
      <c r="W412" s="74"/>
      <c r="X412" s="74"/>
      <c r="Y412" s="74"/>
    </row>
    <row r="413" ht="14.25" customHeight="1">
      <c r="A413" s="74"/>
      <c r="B413" s="74"/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  <c r="Q413" s="74"/>
      <c r="R413" s="74"/>
      <c r="S413" s="74"/>
      <c r="T413" s="74"/>
      <c r="U413" s="74"/>
      <c r="V413" s="74"/>
      <c r="W413" s="74"/>
      <c r="X413" s="74"/>
      <c r="Y413" s="74"/>
    </row>
    <row r="414" ht="14.25" customHeight="1">
      <c r="A414" s="74"/>
      <c r="B414" s="74"/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  <c r="Q414" s="74"/>
      <c r="R414" s="74"/>
      <c r="S414" s="74"/>
      <c r="T414" s="74"/>
      <c r="U414" s="74"/>
      <c r="V414" s="74"/>
      <c r="W414" s="74"/>
      <c r="X414" s="74"/>
      <c r="Y414" s="74"/>
    </row>
    <row r="415" ht="14.25" customHeight="1">
      <c r="A415" s="74"/>
      <c r="B415" s="74"/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  <c r="Q415" s="74"/>
      <c r="R415" s="74"/>
      <c r="S415" s="74"/>
      <c r="T415" s="74"/>
      <c r="U415" s="74"/>
      <c r="V415" s="74"/>
      <c r="W415" s="74"/>
      <c r="X415" s="74"/>
      <c r="Y415" s="74"/>
    </row>
    <row r="416" ht="14.25" customHeight="1">
      <c r="A416" s="74"/>
      <c r="B416" s="74"/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  <c r="Q416" s="74"/>
      <c r="R416" s="74"/>
      <c r="S416" s="74"/>
      <c r="T416" s="74"/>
      <c r="U416" s="74"/>
      <c r="V416" s="74"/>
      <c r="W416" s="74"/>
      <c r="X416" s="74"/>
      <c r="Y416" s="74"/>
    </row>
    <row r="417" ht="14.25" customHeight="1">
      <c r="A417" s="74"/>
      <c r="B417" s="74"/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  <c r="Q417" s="74"/>
      <c r="R417" s="74"/>
      <c r="S417" s="74"/>
      <c r="T417" s="74"/>
      <c r="U417" s="74"/>
      <c r="V417" s="74"/>
      <c r="W417" s="74"/>
      <c r="X417" s="74"/>
      <c r="Y417" s="74"/>
    </row>
    <row r="418" ht="14.25" customHeight="1">
      <c r="A418" s="74"/>
      <c r="B418" s="74"/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  <c r="Q418" s="74"/>
      <c r="R418" s="74"/>
      <c r="S418" s="74"/>
      <c r="T418" s="74"/>
      <c r="U418" s="74"/>
      <c r="V418" s="74"/>
      <c r="W418" s="74"/>
      <c r="X418" s="74"/>
      <c r="Y418" s="74"/>
    </row>
    <row r="419" ht="14.25" customHeight="1">
      <c r="A419" s="74"/>
      <c r="B419" s="74"/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  <c r="Q419" s="74"/>
      <c r="R419" s="74"/>
      <c r="S419" s="74"/>
      <c r="T419" s="74"/>
      <c r="U419" s="74"/>
      <c r="V419" s="74"/>
      <c r="W419" s="74"/>
      <c r="X419" s="74"/>
      <c r="Y419" s="74"/>
    </row>
    <row r="420" ht="14.25" customHeight="1">
      <c r="A420" s="74"/>
      <c r="B420" s="74"/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  <c r="Q420" s="74"/>
      <c r="R420" s="74"/>
      <c r="S420" s="74"/>
      <c r="T420" s="74"/>
      <c r="U420" s="74"/>
      <c r="V420" s="74"/>
      <c r="W420" s="74"/>
      <c r="X420" s="74"/>
      <c r="Y420" s="74"/>
    </row>
    <row r="421" ht="14.25" customHeight="1">
      <c r="A421" s="74"/>
      <c r="B421" s="74"/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  <c r="Q421" s="74"/>
      <c r="R421" s="74"/>
      <c r="S421" s="74"/>
      <c r="T421" s="74"/>
      <c r="U421" s="74"/>
      <c r="V421" s="74"/>
      <c r="W421" s="74"/>
      <c r="X421" s="74"/>
      <c r="Y421" s="74"/>
    </row>
    <row r="422" ht="14.25" customHeight="1">
      <c r="A422" s="74"/>
      <c r="B422" s="74"/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  <c r="Q422" s="74"/>
      <c r="R422" s="74"/>
      <c r="S422" s="74"/>
      <c r="T422" s="74"/>
      <c r="U422" s="74"/>
      <c r="V422" s="74"/>
      <c r="W422" s="74"/>
      <c r="X422" s="74"/>
      <c r="Y422" s="74"/>
    </row>
    <row r="423" ht="14.25" customHeight="1">
      <c r="A423" s="74"/>
      <c r="B423" s="74"/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  <c r="Q423" s="74"/>
      <c r="R423" s="74"/>
      <c r="S423" s="74"/>
      <c r="T423" s="74"/>
      <c r="U423" s="74"/>
      <c r="V423" s="74"/>
      <c r="W423" s="74"/>
      <c r="X423" s="74"/>
      <c r="Y423" s="74"/>
    </row>
    <row r="424" ht="14.25" customHeight="1">
      <c r="A424" s="74"/>
      <c r="B424" s="74"/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  <c r="Q424" s="74"/>
      <c r="R424" s="74"/>
      <c r="S424" s="74"/>
      <c r="T424" s="74"/>
      <c r="U424" s="74"/>
      <c r="V424" s="74"/>
      <c r="W424" s="74"/>
      <c r="X424" s="74"/>
      <c r="Y424" s="74"/>
    </row>
    <row r="425" ht="14.25" customHeight="1">
      <c r="A425" s="74"/>
      <c r="B425" s="74"/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  <c r="Q425" s="74"/>
      <c r="R425" s="74"/>
      <c r="S425" s="74"/>
      <c r="T425" s="74"/>
      <c r="U425" s="74"/>
      <c r="V425" s="74"/>
      <c r="W425" s="74"/>
      <c r="X425" s="74"/>
      <c r="Y425" s="74"/>
    </row>
    <row r="426" ht="14.25" customHeight="1">
      <c r="A426" s="74"/>
      <c r="B426" s="74"/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  <c r="Q426" s="74"/>
      <c r="R426" s="74"/>
      <c r="S426" s="74"/>
      <c r="T426" s="74"/>
      <c r="U426" s="74"/>
      <c r="V426" s="74"/>
      <c r="W426" s="74"/>
      <c r="X426" s="74"/>
      <c r="Y426" s="74"/>
    </row>
    <row r="427" ht="14.25" customHeight="1">
      <c r="A427" s="74"/>
      <c r="B427" s="74"/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  <c r="Q427" s="74"/>
      <c r="R427" s="74"/>
      <c r="S427" s="74"/>
      <c r="T427" s="74"/>
      <c r="U427" s="74"/>
      <c r="V427" s="74"/>
      <c r="W427" s="74"/>
      <c r="X427" s="74"/>
      <c r="Y427" s="74"/>
    </row>
    <row r="428" ht="14.25" customHeight="1">
      <c r="A428" s="74"/>
      <c r="B428" s="74"/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  <c r="Q428" s="74"/>
      <c r="R428" s="74"/>
      <c r="S428" s="74"/>
      <c r="T428" s="74"/>
      <c r="U428" s="74"/>
      <c r="V428" s="74"/>
      <c r="W428" s="74"/>
      <c r="X428" s="74"/>
      <c r="Y428" s="74"/>
    </row>
    <row r="429" ht="14.25" customHeight="1">
      <c r="A429" s="74"/>
      <c r="B429" s="74"/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  <c r="Q429" s="74"/>
      <c r="R429" s="74"/>
      <c r="S429" s="74"/>
      <c r="T429" s="74"/>
      <c r="U429" s="74"/>
      <c r="V429" s="74"/>
      <c r="W429" s="74"/>
      <c r="X429" s="74"/>
      <c r="Y429" s="74"/>
    </row>
    <row r="430" ht="14.25" customHeight="1">
      <c r="A430" s="74"/>
      <c r="B430" s="74"/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  <c r="Q430" s="74"/>
      <c r="R430" s="74"/>
      <c r="S430" s="74"/>
      <c r="T430" s="74"/>
      <c r="U430" s="74"/>
      <c r="V430" s="74"/>
      <c r="W430" s="74"/>
      <c r="X430" s="74"/>
      <c r="Y430" s="74"/>
    </row>
    <row r="431" ht="14.25" customHeight="1">
      <c r="A431" s="74"/>
      <c r="B431" s="74"/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  <c r="Q431" s="74"/>
      <c r="R431" s="74"/>
      <c r="S431" s="74"/>
      <c r="T431" s="74"/>
      <c r="U431" s="74"/>
      <c r="V431" s="74"/>
      <c r="W431" s="74"/>
      <c r="X431" s="74"/>
      <c r="Y431" s="74"/>
    </row>
    <row r="432" ht="14.25" customHeight="1">
      <c r="A432" s="74"/>
      <c r="B432" s="74"/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  <c r="Q432" s="74"/>
      <c r="R432" s="74"/>
      <c r="S432" s="74"/>
      <c r="T432" s="74"/>
      <c r="U432" s="74"/>
      <c r="V432" s="74"/>
      <c r="W432" s="74"/>
      <c r="X432" s="74"/>
      <c r="Y432" s="74"/>
    </row>
    <row r="433" ht="14.25" customHeight="1">
      <c r="A433" s="74"/>
      <c r="B433" s="74"/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  <c r="Q433" s="74"/>
      <c r="R433" s="74"/>
      <c r="S433" s="74"/>
      <c r="T433" s="74"/>
      <c r="U433" s="74"/>
      <c r="V433" s="74"/>
      <c r="W433" s="74"/>
      <c r="X433" s="74"/>
      <c r="Y433" s="74"/>
    </row>
    <row r="434" ht="14.25" customHeight="1">
      <c r="A434" s="74"/>
      <c r="B434" s="74"/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  <c r="Q434" s="74"/>
      <c r="R434" s="74"/>
      <c r="S434" s="74"/>
      <c r="T434" s="74"/>
      <c r="U434" s="74"/>
      <c r="V434" s="74"/>
      <c r="W434" s="74"/>
      <c r="X434" s="74"/>
      <c r="Y434" s="74"/>
    </row>
    <row r="435" ht="14.25" customHeight="1">
      <c r="A435" s="74"/>
      <c r="B435" s="74"/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  <c r="Q435" s="74"/>
      <c r="R435" s="74"/>
      <c r="S435" s="74"/>
      <c r="T435" s="74"/>
      <c r="U435" s="74"/>
      <c r="V435" s="74"/>
      <c r="W435" s="74"/>
      <c r="X435" s="74"/>
      <c r="Y435" s="74"/>
    </row>
    <row r="436" ht="14.25" customHeight="1">
      <c r="A436" s="74"/>
      <c r="B436" s="74"/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  <c r="Q436" s="74"/>
      <c r="R436" s="74"/>
      <c r="S436" s="74"/>
      <c r="T436" s="74"/>
      <c r="U436" s="74"/>
      <c r="V436" s="74"/>
      <c r="W436" s="74"/>
      <c r="X436" s="74"/>
      <c r="Y436" s="74"/>
    </row>
    <row r="437" ht="14.25" customHeight="1">
      <c r="A437" s="74"/>
      <c r="B437" s="74"/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  <c r="Q437" s="74"/>
      <c r="R437" s="74"/>
      <c r="S437" s="74"/>
      <c r="T437" s="74"/>
      <c r="U437" s="74"/>
      <c r="V437" s="74"/>
      <c r="W437" s="74"/>
      <c r="X437" s="74"/>
      <c r="Y437" s="74"/>
    </row>
    <row r="438" ht="14.25" customHeight="1">
      <c r="A438" s="74"/>
      <c r="B438" s="74"/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  <c r="Q438" s="74"/>
      <c r="R438" s="74"/>
      <c r="S438" s="74"/>
      <c r="T438" s="74"/>
      <c r="U438" s="74"/>
      <c r="V438" s="74"/>
      <c r="W438" s="74"/>
      <c r="X438" s="74"/>
      <c r="Y438" s="74"/>
    </row>
    <row r="439" ht="14.25" customHeight="1">
      <c r="A439" s="74"/>
      <c r="B439" s="74"/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  <c r="Q439" s="74"/>
      <c r="R439" s="74"/>
      <c r="S439" s="74"/>
      <c r="T439" s="74"/>
      <c r="U439" s="74"/>
      <c r="V439" s="74"/>
      <c r="W439" s="74"/>
      <c r="X439" s="74"/>
      <c r="Y439" s="74"/>
    </row>
    <row r="440" ht="14.25" customHeight="1">
      <c r="A440" s="74"/>
      <c r="B440" s="74"/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  <c r="Q440" s="74"/>
      <c r="R440" s="74"/>
      <c r="S440" s="74"/>
      <c r="T440" s="74"/>
      <c r="U440" s="74"/>
      <c r="V440" s="74"/>
      <c r="W440" s="74"/>
      <c r="X440" s="74"/>
      <c r="Y440" s="74"/>
    </row>
    <row r="441" ht="14.25" customHeight="1">
      <c r="A441" s="74"/>
      <c r="B441" s="74"/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  <c r="Q441" s="74"/>
      <c r="R441" s="74"/>
      <c r="S441" s="74"/>
      <c r="T441" s="74"/>
      <c r="U441" s="74"/>
      <c r="V441" s="74"/>
      <c r="W441" s="74"/>
      <c r="X441" s="74"/>
      <c r="Y441" s="74"/>
    </row>
    <row r="442" ht="14.25" customHeight="1">
      <c r="A442" s="74"/>
      <c r="B442" s="74"/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  <c r="Q442" s="74"/>
      <c r="R442" s="74"/>
      <c r="S442" s="74"/>
      <c r="T442" s="74"/>
      <c r="U442" s="74"/>
      <c r="V442" s="74"/>
      <c r="W442" s="74"/>
      <c r="X442" s="74"/>
      <c r="Y442" s="74"/>
    </row>
    <row r="443" ht="14.25" customHeight="1">
      <c r="A443" s="74"/>
      <c r="B443" s="74"/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  <c r="Q443" s="74"/>
      <c r="R443" s="74"/>
      <c r="S443" s="74"/>
      <c r="T443" s="74"/>
      <c r="U443" s="74"/>
      <c r="V443" s="74"/>
      <c r="W443" s="74"/>
      <c r="X443" s="74"/>
      <c r="Y443" s="74"/>
    </row>
    <row r="444" ht="14.25" customHeight="1">
      <c r="A444" s="74"/>
      <c r="B444" s="74"/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  <c r="Q444" s="74"/>
      <c r="R444" s="74"/>
      <c r="S444" s="74"/>
      <c r="T444" s="74"/>
      <c r="U444" s="74"/>
      <c r="V444" s="74"/>
      <c r="W444" s="74"/>
      <c r="X444" s="74"/>
      <c r="Y444" s="74"/>
    </row>
    <row r="445" ht="14.25" customHeight="1">
      <c r="A445" s="74"/>
      <c r="B445" s="74"/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  <c r="Q445" s="74"/>
      <c r="R445" s="74"/>
      <c r="S445" s="74"/>
      <c r="T445" s="74"/>
      <c r="U445" s="74"/>
      <c r="V445" s="74"/>
      <c r="W445" s="74"/>
      <c r="X445" s="74"/>
      <c r="Y445" s="74"/>
    </row>
    <row r="446" ht="14.25" customHeight="1">
      <c r="A446" s="74"/>
      <c r="B446" s="74"/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  <c r="Q446" s="74"/>
      <c r="R446" s="74"/>
      <c r="S446" s="74"/>
      <c r="T446" s="74"/>
      <c r="U446" s="74"/>
      <c r="V446" s="74"/>
      <c r="W446" s="74"/>
      <c r="X446" s="74"/>
      <c r="Y446" s="74"/>
    </row>
    <row r="447" ht="14.25" customHeight="1">
      <c r="A447" s="74"/>
      <c r="B447" s="74"/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  <c r="Q447" s="74"/>
      <c r="R447" s="74"/>
      <c r="S447" s="74"/>
      <c r="T447" s="74"/>
      <c r="U447" s="74"/>
      <c r="V447" s="74"/>
      <c r="W447" s="74"/>
      <c r="X447" s="74"/>
      <c r="Y447" s="74"/>
    </row>
    <row r="448" ht="14.25" customHeight="1">
      <c r="A448" s="74"/>
      <c r="B448" s="74"/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  <c r="Q448" s="74"/>
      <c r="R448" s="74"/>
      <c r="S448" s="74"/>
      <c r="T448" s="74"/>
      <c r="U448" s="74"/>
      <c r="V448" s="74"/>
      <c r="W448" s="74"/>
      <c r="X448" s="74"/>
      <c r="Y448" s="74"/>
    </row>
    <row r="449" ht="14.25" customHeight="1">
      <c r="A449" s="74"/>
      <c r="B449" s="74"/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  <c r="Q449" s="74"/>
      <c r="R449" s="74"/>
      <c r="S449" s="74"/>
      <c r="T449" s="74"/>
      <c r="U449" s="74"/>
      <c r="V449" s="74"/>
      <c r="W449" s="74"/>
      <c r="X449" s="74"/>
      <c r="Y449" s="74"/>
    </row>
    <row r="450" ht="14.25" customHeight="1">
      <c r="A450" s="74"/>
      <c r="B450" s="74"/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  <c r="Q450" s="74"/>
      <c r="R450" s="74"/>
      <c r="S450" s="74"/>
      <c r="T450" s="74"/>
      <c r="U450" s="74"/>
      <c r="V450" s="74"/>
      <c r="W450" s="74"/>
      <c r="X450" s="74"/>
      <c r="Y450" s="74"/>
    </row>
    <row r="451" ht="14.25" customHeight="1">
      <c r="A451" s="74"/>
      <c r="B451" s="74"/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  <c r="Q451" s="74"/>
      <c r="R451" s="74"/>
      <c r="S451" s="74"/>
      <c r="T451" s="74"/>
      <c r="U451" s="74"/>
      <c r="V451" s="74"/>
      <c r="W451" s="74"/>
      <c r="X451" s="74"/>
      <c r="Y451" s="74"/>
    </row>
    <row r="452" ht="14.25" customHeight="1">
      <c r="A452" s="74"/>
      <c r="B452" s="74"/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  <c r="Q452" s="74"/>
      <c r="R452" s="74"/>
      <c r="S452" s="74"/>
      <c r="T452" s="74"/>
      <c r="U452" s="74"/>
      <c r="V452" s="74"/>
      <c r="W452" s="74"/>
      <c r="X452" s="74"/>
      <c r="Y452" s="74"/>
    </row>
    <row r="453" ht="14.25" customHeight="1">
      <c r="A453" s="74"/>
      <c r="B453" s="74"/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  <c r="Q453" s="74"/>
      <c r="R453" s="74"/>
      <c r="S453" s="74"/>
      <c r="T453" s="74"/>
      <c r="U453" s="74"/>
      <c r="V453" s="74"/>
      <c r="W453" s="74"/>
      <c r="X453" s="74"/>
      <c r="Y453" s="74"/>
    </row>
    <row r="454" ht="14.25" customHeight="1">
      <c r="A454" s="74"/>
      <c r="B454" s="74"/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  <c r="Q454" s="74"/>
      <c r="R454" s="74"/>
      <c r="S454" s="74"/>
      <c r="T454" s="74"/>
      <c r="U454" s="74"/>
      <c r="V454" s="74"/>
      <c r="W454" s="74"/>
      <c r="X454" s="74"/>
      <c r="Y454" s="74"/>
    </row>
    <row r="455" ht="14.25" customHeight="1">
      <c r="A455" s="74"/>
      <c r="B455" s="74"/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  <c r="Q455" s="74"/>
      <c r="R455" s="74"/>
      <c r="S455" s="74"/>
      <c r="T455" s="74"/>
      <c r="U455" s="74"/>
      <c r="V455" s="74"/>
      <c r="W455" s="74"/>
      <c r="X455" s="74"/>
      <c r="Y455" s="74"/>
    </row>
    <row r="456" ht="14.25" customHeight="1">
      <c r="A456" s="74"/>
      <c r="B456" s="74"/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  <c r="Q456" s="74"/>
      <c r="R456" s="74"/>
      <c r="S456" s="74"/>
      <c r="T456" s="74"/>
      <c r="U456" s="74"/>
      <c r="V456" s="74"/>
      <c r="W456" s="74"/>
      <c r="X456" s="74"/>
      <c r="Y456" s="74"/>
    </row>
    <row r="457" ht="14.25" customHeight="1">
      <c r="A457" s="74"/>
      <c r="B457" s="74"/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  <c r="Q457" s="74"/>
      <c r="R457" s="74"/>
      <c r="S457" s="74"/>
      <c r="T457" s="74"/>
      <c r="U457" s="74"/>
      <c r="V457" s="74"/>
      <c r="W457" s="74"/>
      <c r="X457" s="74"/>
      <c r="Y457" s="74"/>
    </row>
    <row r="458" ht="14.25" customHeight="1">
      <c r="A458" s="74"/>
      <c r="B458" s="74"/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  <c r="Q458" s="74"/>
      <c r="R458" s="74"/>
      <c r="S458" s="74"/>
      <c r="T458" s="74"/>
      <c r="U458" s="74"/>
      <c r="V458" s="74"/>
      <c r="W458" s="74"/>
      <c r="X458" s="74"/>
      <c r="Y458" s="74"/>
    </row>
    <row r="459" ht="14.25" customHeight="1">
      <c r="A459" s="74"/>
      <c r="B459" s="74"/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  <c r="Q459" s="74"/>
      <c r="R459" s="74"/>
      <c r="S459" s="74"/>
      <c r="T459" s="74"/>
      <c r="U459" s="74"/>
      <c r="V459" s="74"/>
      <c r="W459" s="74"/>
      <c r="X459" s="74"/>
      <c r="Y459" s="74"/>
    </row>
    <row r="460" ht="14.25" customHeight="1">
      <c r="A460" s="74"/>
      <c r="B460" s="74"/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  <c r="Q460" s="74"/>
      <c r="R460" s="74"/>
      <c r="S460" s="74"/>
      <c r="T460" s="74"/>
      <c r="U460" s="74"/>
      <c r="V460" s="74"/>
      <c r="W460" s="74"/>
      <c r="X460" s="74"/>
      <c r="Y460" s="74"/>
    </row>
    <row r="461" ht="14.25" customHeight="1">
      <c r="A461" s="74"/>
      <c r="B461" s="74"/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  <c r="Q461" s="74"/>
      <c r="R461" s="74"/>
      <c r="S461" s="74"/>
      <c r="T461" s="74"/>
      <c r="U461" s="74"/>
      <c r="V461" s="74"/>
      <c r="W461" s="74"/>
      <c r="X461" s="74"/>
      <c r="Y461" s="74"/>
    </row>
    <row r="462" ht="14.25" customHeight="1">
      <c r="A462" s="74"/>
      <c r="B462" s="74"/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  <c r="Q462" s="74"/>
      <c r="R462" s="74"/>
      <c r="S462" s="74"/>
      <c r="T462" s="74"/>
      <c r="U462" s="74"/>
      <c r="V462" s="74"/>
      <c r="W462" s="74"/>
      <c r="X462" s="74"/>
      <c r="Y462" s="74"/>
    </row>
    <row r="463" ht="14.25" customHeight="1">
      <c r="A463" s="74"/>
      <c r="B463" s="74"/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  <c r="Q463" s="74"/>
      <c r="R463" s="74"/>
      <c r="S463" s="74"/>
      <c r="T463" s="74"/>
      <c r="U463" s="74"/>
      <c r="V463" s="74"/>
      <c r="W463" s="74"/>
      <c r="X463" s="74"/>
      <c r="Y463" s="74"/>
    </row>
    <row r="464" ht="14.25" customHeight="1">
      <c r="A464" s="74"/>
      <c r="B464" s="74"/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  <c r="Q464" s="74"/>
      <c r="R464" s="74"/>
      <c r="S464" s="74"/>
      <c r="T464" s="74"/>
      <c r="U464" s="74"/>
      <c r="V464" s="74"/>
      <c r="W464" s="74"/>
      <c r="X464" s="74"/>
      <c r="Y464" s="74"/>
    </row>
    <row r="465" ht="14.25" customHeight="1">
      <c r="A465" s="74"/>
      <c r="B465" s="74"/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  <c r="Q465" s="74"/>
      <c r="R465" s="74"/>
      <c r="S465" s="74"/>
      <c r="T465" s="74"/>
      <c r="U465" s="74"/>
      <c r="V465" s="74"/>
      <c r="W465" s="74"/>
      <c r="X465" s="74"/>
      <c r="Y465" s="74"/>
    </row>
    <row r="466" ht="14.25" customHeight="1">
      <c r="A466" s="74"/>
      <c r="B466" s="74"/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  <c r="Q466" s="74"/>
      <c r="R466" s="74"/>
      <c r="S466" s="74"/>
      <c r="T466" s="74"/>
      <c r="U466" s="74"/>
      <c r="V466" s="74"/>
      <c r="W466" s="74"/>
      <c r="X466" s="74"/>
      <c r="Y466" s="74"/>
    </row>
    <row r="467" ht="14.25" customHeight="1">
      <c r="A467" s="74"/>
      <c r="B467" s="74"/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  <c r="Q467" s="74"/>
      <c r="R467" s="74"/>
      <c r="S467" s="74"/>
      <c r="T467" s="74"/>
      <c r="U467" s="74"/>
      <c r="V467" s="74"/>
      <c r="W467" s="74"/>
      <c r="X467" s="74"/>
      <c r="Y467" s="74"/>
    </row>
    <row r="468" ht="14.25" customHeight="1">
      <c r="A468" s="74"/>
      <c r="B468" s="74"/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  <c r="Q468" s="74"/>
      <c r="R468" s="74"/>
      <c r="S468" s="74"/>
      <c r="T468" s="74"/>
      <c r="U468" s="74"/>
      <c r="V468" s="74"/>
      <c r="W468" s="74"/>
      <c r="X468" s="74"/>
      <c r="Y468" s="74"/>
    </row>
    <row r="469" ht="14.25" customHeight="1">
      <c r="A469" s="74"/>
      <c r="B469" s="74"/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  <c r="Q469" s="74"/>
      <c r="R469" s="74"/>
      <c r="S469" s="74"/>
      <c r="T469" s="74"/>
      <c r="U469" s="74"/>
      <c r="V469" s="74"/>
      <c r="W469" s="74"/>
      <c r="X469" s="74"/>
      <c r="Y469" s="74"/>
    </row>
    <row r="470" ht="14.25" customHeight="1">
      <c r="A470" s="74"/>
      <c r="B470" s="74"/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  <c r="Q470" s="74"/>
      <c r="R470" s="74"/>
      <c r="S470" s="74"/>
      <c r="T470" s="74"/>
      <c r="U470" s="74"/>
      <c r="V470" s="74"/>
      <c r="W470" s="74"/>
      <c r="X470" s="74"/>
      <c r="Y470" s="74"/>
    </row>
    <row r="471" ht="14.25" customHeight="1">
      <c r="A471" s="74"/>
      <c r="B471" s="74"/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  <c r="Q471" s="74"/>
      <c r="R471" s="74"/>
      <c r="S471" s="74"/>
      <c r="T471" s="74"/>
      <c r="U471" s="74"/>
      <c r="V471" s="74"/>
      <c r="W471" s="74"/>
      <c r="X471" s="74"/>
      <c r="Y471" s="74"/>
    </row>
    <row r="472" ht="14.25" customHeight="1">
      <c r="A472" s="74"/>
      <c r="B472" s="74"/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  <c r="Q472" s="74"/>
      <c r="R472" s="74"/>
      <c r="S472" s="74"/>
      <c r="T472" s="74"/>
      <c r="U472" s="74"/>
      <c r="V472" s="74"/>
      <c r="W472" s="74"/>
      <c r="X472" s="74"/>
      <c r="Y472" s="74"/>
    </row>
    <row r="473" ht="14.25" customHeight="1">
      <c r="A473" s="74"/>
      <c r="B473" s="74"/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  <c r="Q473" s="74"/>
      <c r="R473" s="74"/>
      <c r="S473" s="74"/>
      <c r="T473" s="74"/>
      <c r="U473" s="74"/>
      <c r="V473" s="74"/>
      <c r="W473" s="74"/>
      <c r="X473" s="74"/>
      <c r="Y473" s="74"/>
    </row>
    <row r="474" ht="14.25" customHeight="1">
      <c r="A474" s="74"/>
      <c r="B474" s="74"/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  <c r="Q474" s="74"/>
      <c r="R474" s="74"/>
      <c r="S474" s="74"/>
      <c r="T474" s="74"/>
      <c r="U474" s="74"/>
      <c r="V474" s="74"/>
      <c r="W474" s="74"/>
      <c r="X474" s="74"/>
      <c r="Y474" s="74"/>
    </row>
    <row r="475" ht="14.25" customHeight="1">
      <c r="A475" s="74"/>
      <c r="B475" s="74"/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  <c r="Q475" s="74"/>
      <c r="R475" s="74"/>
      <c r="S475" s="74"/>
      <c r="T475" s="74"/>
      <c r="U475" s="74"/>
      <c r="V475" s="74"/>
      <c r="W475" s="74"/>
      <c r="X475" s="74"/>
      <c r="Y475" s="74"/>
    </row>
    <row r="476" ht="14.25" customHeight="1">
      <c r="A476" s="74"/>
      <c r="B476" s="74"/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  <c r="Q476" s="74"/>
      <c r="R476" s="74"/>
      <c r="S476" s="74"/>
      <c r="T476" s="74"/>
      <c r="U476" s="74"/>
      <c r="V476" s="74"/>
      <c r="W476" s="74"/>
      <c r="X476" s="74"/>
      <c r="Y476" s="74"/>
    </row>
    <row r="477" ht="14.25" customHeight="1">
      <c r="A477" s="74"/>
      <c r="B477" s="74"/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  <c r="Q477" s="74"/>
      <c r="R477" s="74"/>
      <c r="S477" s="74"/>
      <c r="T477" s="74"/>
      <c r="U477" s="74"/>
      <c r="V477" s="74"/>
      <c r="W477" s="74"/>
      <c r="X477" s="74"/>
      <c r="Y477" s="74"/>
    </row>
    <row r="478" ht="14.25" customHeight="1">
      <c r="A478" s="74"/>
      <c r="B478" s="74"/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  <c r="Q478" s="74"/>
      <c r="R478" s="74"/>
      <c r="S478" s="74"/>
      <c r="T478" s="74"/>
      <c r="U478" s="74"/>
      <c r="V478" s="74"/>
      <c r="W478" s="74"/>
      <c r="X478" s="74"/>
      <c r="Y478" s="74"/>
    </row>
    <row r="479" ht="14.25" customHeight="1">
      <c r="A479" s="74"/>
      <c r="B479" s="74"/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  <c r="Q479" s="74"/>
      <c r="R479" s="74"/>
      <c r="S479" s="74"/>
      <c r="T479" s="74"/>
      <c r="U479" s="74"/>
      <c r="V479" s="74"/>
      <c r="W479" s="74"/>
      <c r="X479" s="74"/>
      <c r="Y479" s="74"/>
    </row>
    <row r="480" ht="14.25" customHeight="1">
      <c r="A480" s="74"/>
      <c r="B480" s="74"/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  <c r="Q480" s="74"/>
      <c r="R480" s="74"/>
      <c r="S480" s="74"/>
      <c r="T480" s="74"/>
      <c r="U480" s="74"/>
      <c r="V480" s="74"/>
      <c r="W480" s="74"/>
      <c r="X480" s="74"/>
      <c r="Y480" s="74"/>
    </row>
    <row r="481" ht="14.25" customHeight="1">
      <c r="A481" s="74"/>
      <c r="B481" s="74"/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  <c r="Q481" s="74"/>
      <c r="R481" s="74"/>
      <c r="S481" s="74"/>
      <c r="T481" s="74"/>
      <c r="U481" s="74"/>
      <c r="V481" s="74"/>
      <c r="W481" s="74"/>
      <c r="X481" s="74"/>
      <c r="Y481" s="74"/>
    </row>
    <row r="482" ht="14.25" customHeight="1">
      <c r="A482" s="74"/>
      <c r="B482" s="74"/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  <c r="Q482" s="74"/>
      <c r="R482" s="74"/>
      <c r="S482" s="74"/>
      <c r="T482" s="74"/>
      <c r="U482" s="74"/>
      <c r="V482" s="74"/>
      <c r="W482" s="74"/>
      <c r="X482" s="74"/>
      <c r="Y482" s="74"/>
    </row>
    <row r="483" ht="14.25" customHeight="1">
      <c r="A483" s="74"/>
      <c r="B483" s="74"/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  <c r="Q483" s="74"/>
      <c r="R483" s="74"/>
      <c r="S483" s="74"/>
      <c r="T483" s="74"/>
      <c r="U483" s="74"/>
      <c r="V483" s="74"/>
      <c r="W483" s="74"/>
      <c r="X483" s="74"/>
      <c r="Y483" s="74"/>
    </row>
    <row r="484" ht="14.25" customHeight="1">
      <c r="A484" s="74"/>
      <c r="B484" s="74"/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  <c r="Q484" s="74"/>
      <c r="R484" s="74"/>
      <c r="S484" s="74"/>
      <c r="T484" s="74"/>
      <c r="U484" s="74"/>
      <c r="V484" s="74"/>
      <c r="W484" s="74"/>
      <c r="X484" s="74"/>
      <c r="Y484" s="74"/>
    </row>
    <row r="485" ht="14.25" customHeight="1">
      <c r="A485" s="74"/>
      <c r="B485" s="74"/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  <c r="Q485" s="74"/>
      <c r="R485" s="74"/>
      <c r="S485" s="74"/>
      <c r="T485" s="74"/>
      <c r="U485" s="74"/>
      <c r="V485" s="74"/>
      <c r="W485" s="74"/>
      <c r="X485" s="74"/>
      <c r="Y485" s="74"/>
    </row>
    <row r="486" ht="14.25" customHeight="1">
      <c r="A486" s="74"/>
      <c r="B486" s="74"/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  <c r="Q486" s="74"/>
      <c r="R486" s="74"/>
      <c r="S486" s="74"/>
      <c r="T486" s="74"/>
      <c r="U486" s="74"/>
      <c r="V486" s="74"/>
      <c r="W486" s="74"/>
      <c r="X486" s="74"/>
      <c r="Y486" s="74"/>
    </row>
    <row r="487" ht="14.25" customHeight="1">
      <c r="A487" s="74"/>
      <c r="B487" s="74"/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  <c r="Q487" s="74"/>
      <c r="R487" s="74"/>
      <c r="S487" s="74"/>
      <c r="T487" s="74"/>
      <c r="U487" s="74"/>
      <c r="V487" s="74"/>
      <c r="W487" s="74"/>
      <c r="X487" s="74"/>
      <c r="Y487" s="74"/>
    </row>
    <row r="488" ht="14.25" customHeight="1">
      <c r="A488" s="74"/>
      <c r="B488" s="74"/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  <c r="Q488" s="74"/>
      <c r="R488" s="74"/>
      <c r="S488" s="74"/>
      <c r="T488" s="74"/>
      <c r="U488" s="74"/>
      <c r="V488" s="74"/>
      <c r="W488" s="74"/>
      <c r="X488" s="74"/>
      <c r="Y488" s="74"/>
    </row>
    <row r="489" ht="14.25" customHeight="1">
      <c r="A489" s="74"/>
      <c r="B489" s="74"/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  <c r="Q489" s="74"/>
      <c r="R489" s="74"/>
      <c r="S489" s="74"/>
      <c r="T489" s="74"/>
      <c r="U489" s="74"/>
      <c r="V489" s="74"/>
      <c r="W489" s="74"/>
      <c r="X489" s="74"/>
      <c r="Y489" s="74"/>
    </row>
    <row r="490" ht="14.25" customHeight="1">
      <c r="A490" s="74"/>
      <c r="B490" s="74"/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  <c r="Q490" s="74"/>
      <c r="R490" s="74"/>
      <c r="S490" s="74"/>
      <c r="T490" s="74"/>
      <c r="U490" s="74"/>
      <c r="V490" s="74"/>
      <c r="W490" s="74"/>
      <c r="X490" s="74"/>
      <c r="Y490" s="74"/>
    </row>
    <row r="491" ht="14.25" customHeight="1">
      <c r="A491" s="74"/>
      <c r="B491" s="74"/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  <c r="Q491" s="74"/>
      <c r="R491" s="74"/>
      <c r="S491" s="74"/>
      <c r="T491" s="74"/>
      <c r="U491" s="74"/>
      <c r="V491" s="74"/>
      <c r="W491" s="74"/>
      <c r="X491" s="74"/>
      <c r="Y491" s="74"/>
    </row>
    <row r="492" ht="14.25" customHeight="1">
      <c r="A492" s="74"/>
      <c r="B492" s="74"/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  <c r="Q492" s="74"/>
      <c r="R492" s="74"/>
      <c r="S492" s="74"/>
      <c r="T492" s="74"/>
      <c r="U492" s="74"/>
      <c r="V492" s="74"/>
      <c r="W492" s="74"/>
      <c r="X492" s="74"/>
      <c r="Y492" s="74"/>
    </row>
    <row r="493" ht="14.25" customHeight="1">
      <c r="A493" s="74"/>
      <c r="B493" s="74"/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  <c r="Q493" s="74"/>
      <c r="R493" s="74"/>
      <c r="S493" s="74"/>
      <c r="T493" s="74"/>
      <c r="U493" s="74"/>
      <c r="V493" s="74"/>
      <c r="W493" s="74"/>
      <c r="X493" s="74"/>
      <c r="Y493" s="74"/>
    </row>
    <row r="494" ht="14.25" customHeight="1">
      <c r="A494" s="74"/>
      <c r="B494" s="74"/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  <c r="Q494" s="74"/>
      <c r="R494" s="74"/>
      <c r="S494" s="74"/>
      <c r="T494" s="74"/>
      <c r="U494" s="74"/>
      <c r="V494" s="74"/>
      <c r="W494" s="74"/>
      <c r="X494" s="74"/>
      <c r="Y494" s="74"/>
    </row>
    <row r="495" ht="14.25" customHeight="1">
      <c r="A495" s="74"/>
      <c r="B495" s="74"/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  <c r="Q495" s="74"/>
      <c r="R495" s="74"/>
      <c r="S495" s="74"/>
      <c r="T495" s="74"/>
      <c r="U495" s="74"/>
      <c r="V495" s="74"/>
      <c r="W495" s="74"/>
      <c r="X495" s="74"/>
      <c r="Y495" s="74"/>
    </row>
    <row r="496" ht="14.25" customHeight="1">
      <c r="A496" s="74"/>
      <c r="B496" s="74"/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  <c r="Q496" s="74"/>
      <c r="R496" s="74"/>
      <c r="S496" s="74"/>
      <c r="T496" s="74"/>
      <c r="U496" s="74"/>
      <c r="V496" s="74"/>
      <c r="W496" s="74"/>
      <c r="X496" s="74"/>
      <c r="Y496" s="74"/>
    </row>
    <row r="497" ht="14.25" customHeight="1">
      <c r="A497" s="74"/>
      <c r="B497" s="74"/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  <c r="Q497" s="74"/>
      <c r="R497" s="74"/>
      <c r="S497" s="74"/>
      <c r="T497" s="74"/>
      <c r="U497" s="74"/>
      <c r="V497" s="74"/>
      <c r="W497" s="74"/>
      <c r="X497" s="74"/>
      <c r="Y497" s="74"/>
    </row>
    <row r="498" ht="14.25" customHeight="1">
      <c r="A498" s="74"/>
      <c r="B498" s="74"/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  <c r="Q498" s="74"/>
      <c r="R498" s="74"/>
      <c r="S498" s="74"/>
      <c r="T498" s="74"/>
      <c r="U498" s="74"/>
      <c r="V498" s="74"/>
      <c r="W498" s="74"/>
      <c r="X498" s="74"/>
      <c r="Y498" s="74"/>
    </row>
    <row r="499" ht="14.25" customHeight="1">
      <c r="A499" s="74"/>
      <c r="B499" s="74"/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  <c r="Q499" s="74"/>
      <c r="R499" s="74"/>
      <c r="S499" s="74"/>
      <c r="T499" s="74"/>
      <c r="U499" s="74"/>
      <c r="V499" s="74"/>
      <c r="W499" s="74"/>
      <c r="X499" s="74"/>
      <c r="Y499" s="74"/>
    </row>
    <row r="500" ht="14.25" customHeight="1">
      <c r="A500" s="74"/>
      <c r="B500" s="74"/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  <c r="Q500" s="74"/>
      <c r="R500" s="74"/>
      <c r="S500" s="74"/>
      <c r="T500" s="74"/>
      <c r="U500" s="74"/>
      <c r="V500" s="74"/>
      <c r="W500" s="74"/>
      <c r="X500" s="74"/>
      <c r="Y500" s="74"/>
    </row>
    <row r="501" ht="14.25" customHeight="1">
      <c r="A501" s="74"/>
      <c r="B501" s="74"/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  <c r="Q501" s="74"/>
      <c r="R501" s="74"/>
      <c r="S501" s="74"/>
      <c r="T501" s="74"/>
      <c r="U501" s="74"/>
      <c r="V501" s="74"/>
      <c r="W501" s="74"/>
      <c r="X501" s="74"/>
      <c r="Y501" s="74"/>
    </row>
    <row r="502" ht="14.25" customHeight="1">
      <c r="A502" s="74"/>
      <c r="B502" s="74"/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  <c r="Q502" s="74"/>
      <c r="R502" s="74"/>
      <c r="S502" s="74"/>
      <c r="T502" s="74"/>
      <c r="U502" s="74"/>
      <c r="V502" s="74"/>
      <c r="W502" s="74"/>
      <c r="X502" s="74"/>
      <c r="Y502" s="74"/>
    </row>
    <row r="503" ht="14.25" customHeight="1">
      <c r="A503" s="74"/>
      <c r="B503" s="74"/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  <c r="Q503" s="74"/>
      <c r="R503" s="74"/>
      <c r="S503" s="74"/>
      <c r="T503" s="74"/>
      <c r="U503" s="74"/>
      <c r="V503" s="74"/>
      <c r="W503" s="74"/>
      <c r="X503" s="74"/>
      <c r="Y503" s="74"/>
    </row>
    <row r="504" ht="14.25" customHeight="1">
      <c r="A504" s="74"/>
      <c r="B504" s="74"/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  <c r="Q504" s="74"/>
      <c r="R504" s="74"/>
      <c r="S504" s="74"/>
      <c r="T504" s="74"/>
      <c r="U504" s="74"/>
      <c r="V504" s="74"/>
      <c r="W504" s="74"/>
      <c r="X504" s="74"/>
      <c r="Y504" s="74"/>
    </row>
    <row r="505" ht="14.25" customHeight="1">
      <c r="A505" s="74"/>
      <c r="B505" s="74"/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  <c r="Q505" s="74"/>
      <c r="R505" s="74"/>
      <c r="S505" s="74"/>
      <c r="T505" s="74"/>
      <c r="U505" s="74"/>
      <c r="V505" s="74"/>
      <c r="W505" s="74"/>
      <c r="X505" s="74"/>
      <c r="Y505" s="74"/>
    </row>
    <row r="506" ht="14.25" customHeight="1">
      <c r="A506" s="74"/>
      <c r="B506" s="74"/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  <c r="Q506" s="74"/>
      <c r="R506" s="74"/>
      <c r="S506" s="74"/>
      <c r="T506" s="74"/>
      <c r="U506" s="74"/>
      <c r="V506" s="74"/>
      <c r="W506" s="74"/>
      <c r="X506" s="74"/>
      <c r="Y506" s="74"/>
    </row>
    <row r="507" ht="14.25" customHeight="1">
      <c r="A507" s="74"/>
      <c r="B507" s="74"/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  <c r="Q507" s="74"/>
      <c r="R507" s="74"/>
      <c r="S507" s="74"/>
      <c r="T507" s="74"/>
      <c r="U507" s="74"/>
      <c r="V507" s="74"/>
      <c r="W507" s="74"/>
      <c r="X507" s="74"/>
      <c r="Y507" s="74"/>
    </row>
    <row r="508" ht="14.25" customHeight="1">
      <c r="A508" s="74"/>
      <c r="B508" s="74"/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  <c r="Q508" s="74"/>
      <c r="R508" s="74"/>
      <c r="S508" s="74"/>
      <c r="T508" s="74"/>
      <c r="U508" s="74"/>
      <c r="V508" s="74"/>
      <c r="W508" s="74"/>
      <c r="X508" s="74"/>
      <c r="Y508" s="74"/>
    </row>
    <row r="509" ht="14.25" customHeight="1">
      <c r="A509" s="74"/>
      <c r="B509" s="74"/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  <c r="Q509" s="74"/>
      <c r="R509" s="74"/>
      <c r="S509" s="74"/>
      <c r="T509" s="74"/>
      <c r="U509" s="74"/>
      <c r="V509" s="74"/>
      <c r="W509" s="74"/>
      <c r="X509" s="74"/>
      <c r="Y509" s="74"/>
    </row>
    <row r="510" ht="14.25" customHeight="1">
      <c r="A510" s="74"/>
      <c r="B510" s="74"/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  <c r="Q510" s="74"/>
      <c r="R510" s="74"/>
      <c r="S510" s="74"/>
      <c r="T510" s="74"/>
      <c r="U510" s="74"/>
      <c r="V510" s="74"/>
      <c r="W510" s="74"/>
      <c r="X510" s="74"/>
      <c r="Y510" s="74"/>
    </row>
    <row r="511" ht="14.25" customHeight="1">
      <c r="A511" s="74"/>
      <c r="B511" s="74"/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  <c r="Q511" s="74"/>
      <c r="R511" s="74"/>
      <c r="S511" s="74"/>
      <c r="T511" s="74"/>
      <c r="U511" s="74"/>
      <c r="V511" s="74"/>
      <c r="W511" s="74"/>
      <c r="X511" s="74"/>
      <c r="Y511" s="74"/>
    </row>
    <row r="512" ht="14.25" customHeight="1">
      <c r="A512" s="74"/>
      <c r="B512" s="74"/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  <c r="Q512" s="74"/>
      <c r="R512" s="74"/>
      <c r="S512" s="74"/>
      <c r="T512" s="74"/>
      <c r="U512" s="74"/>
      <c r="V512" s="74"/>
      <c r="W512" s="74"/>
      <c r="X512" s="74"/>
      <c r="Y512" s="74"/>
    </row>
    <row r="513" ht="14.25" customHeight="1">
      <c r="A513" s="74"/>
      <c r="B513" s="74"/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  <c r="Q513" s="74"/>
      <c r="R513" s="74"/>
      <c r="S513" s="74"/>
      <c r="T513" s="74"/>
      <c r="U513" s="74"/>
      <c r="V513" s="74"/>
      <c r="W513" s="74"/>
      <c r="X513" s="74"/>
      <c r="Y513" s="74"/>
    </row>
    <row r="514" ht="14.25" customHeight="1">
      <c r="A514" s="74"/>
      <c r="B514" s="74"/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  <c r="Q514" s="74"/>
      <c r="R514" s="74"/>
      <c r="S514" s="74"/>
      <c r="T514" s="74"/>
      <c r="U514" s="74"/>
      <c r="V514" s="74"/>
      <c r="W514" s="74"/>
      <c r="X514" s="74"/>
      <c r="Y514" s="74"/>
    </row>
    <row r="515" ht="14.25" customHeight="1">
      <c r="A515" s="74"/>
      <c r="B515" s="74"/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  <c r="Q515" s="74"/>
      <c r="R515" s="74"/>
      <c r="S515" s="74"/>
      <c r="T515" s="74"/>
      <c r="U515" s="74"/>
      <c r="V515" s="74"/>
      <c r="W515" s="74"/>
      <c r="X515" s="74"/>
      <c r="Y515" s="74"/>
    </row>
    <row r="516" ht="14.25" customHeight="1">
      <c r="A516" s="74"/>
      <c r="B516" s="74"/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  <c r="Q516" s="74"/>
      <c r="R516" s="74"/>
      <c r="S516" s="74"/>
      <c r="T516" s="74"/>
      <c r="U516" s="74"/>
      <c r="V516" s="74"/>
      <c r="W516" s="74"/>
      <c r="X516" s="74"/>
      <c r="Y516" s="74"/>
    </row>
    <row r="517" ht="14.25" customHeight="1">
      <c r="A517" s="74"/>
      <c r="B517" s="74"/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  <c r="Q517" s="74"/>
      <c r="R517" s="74"/>
      <c r="S517" s="74"/>
      <c r="T517" s="74"/>
      <c r="U517" s="74"/>
      <c r="V517" s="74"/>
      <c r="W517" s="74"/>
      <c r="X517" s="74"/>
      <c r="Y517" s="74"/>
    </row>
    <row r="518" ht="14.25" customHeight="1">
      <c r="A518" s="74"/>
      <c r="B518" s="74"/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  <c r="Q518" s="74"/>
      <c r="R518" s="74"/>
      <c r="S518" s="74"/>
      <c r="T518" s="74"/>
      <c r="U518" s="74"/>
      <c r="V518" s="74"/>
      <c r="W518" s="74"/>
      <c r="X518" s="74"/>
      <c r="Y518" s="74"/>
    </row>
    <row r="519" ht="14.25" customHeight="1">
      <c r="A519" s="74"/>
      <c r="B519" s="74"/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  <c r="Q519" s="74"/>
      <c r="R519" s="74"/>
      <c r="S519" s="74"/>
      <c r="T519" s="74"/>
      <c r="U519" s="74"/>
      <c r="V519" s="74"/>
      <c r="W519" s="74"/>
      <c r="X519" s="74"/>
      <c r="Y519" s="74"/>
    </row>
    <row r="520" ht="14.25" customHeight="1">
      <c r="A520" s="74"/>
      <c r="B520" s="74"/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  <c r="Q520" s="74"/>
      <c r="R520" s="74"/>
      <c r="S520" s="74"/>
      <c r="T520" s="74"/>
      <c r="U520" s="74"/>
      <c r="V520" s="74"/>
      <c r="W520" s="74"/>
      <c r="X520" s="74"/>
      <c r="Y520" s="74"/>
    </row>
    <row r="521" ht="14.25" customHeight="1">
      <c r="A521" s="74"/>
      <c r="B521" s="74"/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  <c r="Q521" s="74"/>
      <c r="R521" s="74"/>
      <c r="S521" s="74"/>
      <c r="T521" s="74"/>
      <c r="U521" s="74"/>
      <c r="V521" s="74"/>
      <c r="W521" s="74"/>
      <c r="X521" s="74"/>
      <c r="Y521" s="74"/>
    </row>
    <row r="522" ht="14.25" customHeight="1">
      <c r="A522" s="74"/>
      <c r="B522" s="74"/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  <c r="Q522" s="74"/>
      <c r="R522" s="74"/>
      <c r="S522" s="74"/>
      <c r="T522" s="74"/>
      <c r="U522" s="74"/>
      <c r="V522" s="74"/>
      <c r="W522" s="74"/>
      <c r="X522" s="74"/>
      <c r="Y522" s="74"/>
    </row>
    <row r="523" ht="14.25" customHeight="1">
      <c r="A523" s="74"/>
      <c r="B523" s="74"/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  <c r="Q523" s="74"/>
      <c r="R523" s="74"/>
      <c r="S523" s="74"/>
      <c r="T523" s="74"/>
      <c r="U523" s="74"/>
      <c r="V523" s="74"/>
      <c r="W523" s="74"/>
      <c r="X523" s="74"/>
      <c r="Y523" s="74"/>
    </row>
    <row r="524" ht="14.25" customHeight="1">
      <c r="A524" s="74"/>
      <c r="B524" s="74"/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  <c r="Q524" s="74"/>
      <c r="R524" s="74"/>
      <c r="S524" s="74"/>
      <c r="T524" s="74"/>
      <c r="U524" s="74"/>
      <c r="V524" s="74"/>
      <c r="W524" s="74"/>
      <c r="X524" s="74"/>
      <c r="Y524" s="74"/>
    </row>
    <row r="525" ht="14.25" customHeight="1">
      <c r="A525" s="74"/>
      <c r="B525" s="74"/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  <c r="Q525" s="74"/>
      <c r="R525" s="74"/>
      <c r="S525" s="74"/>
      <c r="T525" s="74"/>
      <c r="U525" s="74"/>
      <c r="V525" s="74"/>
      <c r="W525" s="74"/>
      <c r="X525" s="74"/>
      <c r="Y525" s="74"/>
    </row>
    <row r="526" ht="14.25" customHeight="1">
      <c r="A526" s="74"/>
      <c r="B526" s="74"/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  <c r="Q526" s="74"/>
      <c r="R526" s="74"/>
      <c r="S526" s="74"/>
      <c r="T526" s="74"/>
      <c r="U526" s="74"/>
      <c r="V526" s="74"/>
      <c r="W526" s="74"/>
      <c r="X526" s="74"/>
      <c r="Y526" s="74"/>
    </row>
    <row r="527" ht="14.25" customHeight="1">
      <c r="A527" s="74"/>
      <c r="B527" s="74"/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  <c r="Q527" s="74"/>
      <c r="R527" s="74"/>
      <c r="S527" s="74"/>
      <c r="T527" s="74"/>
      <c r="U527" s="74"/>
      <c r="V527" s="74"/>
      <c r="W527" s="74"/>
      <c r="X527" s="74"/>
      <c r="Y527" s="74"/>
    </row>
    <row r="528" ht="14.25" customHeight="1">
      <c r="A528" s="74"/>
      <c r="B528" s="74"/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  <c r="Q528" s="74"/>
      <c r="R528" s="74"/>
      <c r="S528" s="74"/>
      <c r="T528" s="74"/>
      <c r="U528" s="74"/>
      <c r="V528" s="74"/>
      <c r="W528" s="74"/>
      <c r="X528" s="74"/>
      <c r="Y528" s="74"/>
    </row>
    <row r="529" ht="14.25" customHeight="1">
      <c r="A529" s="74"/>
      <c r="B529" s="74"/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  <c r="Q529" s="74"/>
      <c r="R529" s="74"/>
      <c r="S529" s="74"/>
      <c r="T529" s="74"/>
      <c r="U529" s="74"/>
      <c r="V529" s="74"/>
      <c r="W529" s="74"/>
      <c r="X529" s="74"/>
      <c r="Y529" s="74"/>
    </row>
    <row r="530" ht="14.25" customHeight="1">
      <c r="A530" s="74"/>
      <c r="B530" s="74"/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  <c r="Q530" s="74"/>
      <c r="R530" s="74"/>
      <c r="S530" s="74"/>
      <c r="T530" s="74"/>
      <c r="U530" s="74"/>
      <c r="V530" s="74"/>
      <c r="W530" s="74"/>
      <c r="X530" s="74"/>
      <c r="Y530" s="74"/>
    </row>
    <row r="531" ht="14.25" customHeight="1">
      <c r="A531" s="74"/>
      <c r="B531" s="74"/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  <c r="Q531" s="74"/>
      <c r="R531" s="74"/>
      <c r="S531" s="74"/>
      <c r="T531" s="74"/>
      <c r="U531" s="74"/>
      <c r="V531" s="74"/>
      <c r="W531" s="74"/>
      <c r="X531" s="74"/>
      <c r="Y531" s="74"/>
    </row>
    <row r="532" ht="14.25" customHeight="1">
      <c r="A532" s="74"/>
      <c r="B532" s="74"/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  <c r="Q532" s="74"/>
      <c r="R532" s="74"/>
      <c r="S532" s="74"/>
      <c r="T532" s="74"/>
      <c r="U532" s="74"/>
      <c r="V532" s="74"/>
      <c r="W532" s="74"/>
      <c r="X532" s="74"/>
      <c r="Y532" s="74"/>
    </row>
    <row r="533" ht="14.25" customHeight="1">
      <c r="A533" s="74"/>
      <c r="B533" s="74"/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  <c r="Q533" s="74"/>
      <c r="R533" s="74"/>
      <c r="S533" s="74"/>
      <c r="T533" s="74"/>
      <c r="U533" s="74"/>
      <c r="V533" s="74"/>
      <c r="W533" s="74"/>
      <c r="X533" s="74"/>
      <c r="Y533" s="74"/>
    </row>
    <row r="534" ht="14.25" customHeight="1">
      <c r="A534" s="74"/>
      <c r="B534" s="74"/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  <c r="Q534" s="74"/>
      <c r="R534" s="74"/>
      <c r="S534" s="74"/>
      <c r="T534" s="74"/>
      <c r="U534" s="74"/>
      <c r="V534" s="74"/>
      <c r="W534" s="74"/>
      <c r="X534" s="74"/>
      <c r="Y534" s="74"/>
    </row>
    <row r="535" ht="14.25" customHeight="1">
      <c r="A535" s="74"/>
      <c r="B535" s="74"/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  <c r="Q535" s="74"/>
      <c r="R535" s="74"/>
      <c r="S535" s="74"/>
      <c r="T535" s="74"/>
      <c r="U535" s="74"/>
      <c r="V535" s="74"/>
      <c r="W535" s="74"/>
      <c r="X535" s="74"/>
      <c r="Y535" s="74"/>
    </row>
    <row r="536" ht="14.25" customHeight="1">
      <c r="A536" s="74"/>
      <c r="B536" s="74"/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  <c r="Q536" s="74"/>
      <c r="R536" s="74"/>
      <c r="S536" s="74"/>
      <c r="T536" s="74"/>
      <c r="U536" s="74"/>
      <c r="V536" s="74"/>
      <c r="W536" s="74"/>
      <c r="X536" s="74"/>
      <c r="Y536" s="74"/>
    </row>
    <row r="537" ht="14.25" customHeight="1">
      <c r="A537" s="74"/>
      <c r="B537" s="74"/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  <c r="Q537" s="74"/>
      <c r="R537" s="74"/>
      <c r="S537" s="74"/>
      <c r="T537" s="74"/>
      <c r="U537" s="74"/>
      <c r="V537" s="74"/>
      <c r="W537" s="74"/>
      <c r="X537" s="74"/>
      <c r="Y537" s="74"/>
    </row>
    <row r="538" ht="14.25" customHeight="1">
      <c r="A538" s="74"/>
      <c r="B538" s="74"/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  <c r="Q538" s="74"/>
      <c r="R538" s="74"/>
      <c r="S538" s="74"/>
      <c r="T538" s="74"/>
      <c r="U538" s="74"/>
      <c r="V538" s="74"/>
      <c r="W538" s="74"/>
      <c r="X538" s="74"/>
      <c r="Y538" s="74"/>
    </row>
    <row r="539" ht="14.25" customHeight="1">
      <c r="A539" s="74"/>
      <c r="B539" s="74"/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  <c r="Q539" s="74"/>
      <c r="R539" s="74"/>
      <c r="S539" s="74"/>
      <c r="T539" s="74"/>
      <c r="U539" s="74"/>
      <c r="V539" s="74"/>
      <c r="W539" s="74"/>
      <c r="X539" s="74"/>
      <c r="Y539" s="74"/>
    </row>
    <row r="540" ht="14.25" customHeight="1">
      <c r="A540" s="74"/>
      <c r="B540" s="74"/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  <c r="Q540" s="74"/>
      <c r="R540" s="74"/>
      <c r="S540" s="74"/>
      <c r="T540" s="74"/>
      <c r="U540" s="74"/>
      <c r="V540" s="74"/>
      <c r="W540" s="74"/>
      <c r="X540" s="74"/>
      <c r="Y540" s="74"/>
    </row>
    <row r="541" ht="14.25" customHeight="1">
      <c r="A541" s="74"/>
      <c r="B541" s="74"/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  <c r="Q541" s="74"/>
      <c r="R541" s="74"/>
      <c r="S541" s="74"/>
      <c r="T541" s="74"/>
      <c r="U541" s="74"/>
      <c r="V541" s="74"/>
      <c r="W541" s="74"/>
      <c r="X541" s="74"/>
      <c r="Y541" s="74"/>
    </row>
    <row r="542" ht="14.25" customHeight="1">
      <c r="A542" s="74"/>
      <c r="B542" s="74"/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  <c r="Q542" s="74"/>
      <c r="R542" s="74"/>
      <c r="S542" s="74"/>
      <c r="T542" s="74"/>
      <c r="U542" s="74"/>
      <c r="V542" s="74"/>
      <c r="W542" s="74"/>
      <c r="X542" s="74"/>
      <c r="Y542" s="74"/>
    </row>
    <row r="543" ht="14.25" customHeight="1">
      <c r="A543" s="74"/>
      <c r="B543" s="74"/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  <c r="Q543" s="74"/>
      <c r="R543" s="74"/>
      <c r="S543" s="74"/>
      <c r="T543" s="74"/>
      <c r="U543" s="74"/>
      <c r="V543" s="74"/>
      <c r="W543" s="74"/>
      <c r="X543" s="74"/>
      <c r="Y543" s="74"/>
    </row>
    <row r="544" ht="14.25" customHeight="1">
      <c r="A544" s="74"/>
      <c r="B544" s="74"/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  <c r="Q544" s="74"/>
      <c r="R544" s="74"/>
      <c r="S544" s="74"/>
      <c r="T544" s="74"/>
      <c r="U544" s="74"/>
      <c r="V544" s="74"/>
      <c r="W544" s="74"/>
      <c r="X544" s="74"/>
      <c r="Y544" s="74"/>
    </row>
    <row r="545" ht="14.25" customHeight="1">
      <c r="A545" s="74"/>
      <c r="B545" s="74"/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  <c r="Q545" s="74"/>
      <c r="R545" s="74"/>
      <c r="S545" s="74"/>
      <c r="T545" s="74"/>
      <c r="U545" s="74"/>
      <c r="V545" s="74"/>
      <c r="W545" s="74"/>
      <c r="X545" s="74"/>
      <c r="Y545" s="74"/>
    </row>
    <row r="546" ht="14.25" customHeight="1">
      <c r="A546" s="74"/>
      <c r="B546" s="74"/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  <c r="Q546" s="74"/>
      <c r="R546" s="74"/>
      <c r="S546" s="74"/>
      <c r="T546" s="74"/>
      <c r="U546" s="74"/>
      <c r="V546" s="74"/>
      <c r="W546" s="74"/>
      <c r="X546" s="74"/>
      <c r="Y546" s="74"/>
    </row>
    <row r="547" ht="14.25" customHeight="1">
      <c r="A547" s="74"/>
      <c r="B547" s="74"/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  <c r="Q547" s="74"/>
      <c r="R547" s="74"/>
      <c r="S547" s="74"/>
      <c r="T547" s="74"/>
      <c r="U547" s="74"/>
      <c r="V547" s="74"/>
      <c r="W547" s="74"/>
      <c r="X547" s="74"/>
      <c r="Y547" s="74"/>
    </row>
    <row r="548" ht="14.25" customHeight="1">
      <c r="A548" s="74"/>
      <c r="B548" s="74"/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  <c r="Q548" s="74"/>
      <c r="R548" s="74"/>
      <c r="S548" s="74"/>
      <c r="T548" s="74"/>
      <c r="U548" s="74"/>
      <c r="V548" s="74"/>
      <c r="W548" s="74"/>
      <c r="X548" s="74"/>
      <c r="Y548" s="74"/>
    </row>
    <row r="549" ht="14.25" customHeight="1">
      <c r="A549" s="74"/>
      <c r="B549" s="74"/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  <c r="Q549" s="74"/>
      <c r="R549" s="74"/>
      <c r="S549" s="74"/>
      <c r="T549" s="74"/>
      <c r="U549" s="74"/>
      <c r="V549" s="74"/>
      <c r="W549" s="74"/>
      <c r="X549" s="74"/>
      <c r="Y549" s="74"/>
    </row>
    <row r="550" ht="14.25" customHeight="1">
      <c r="A550" s="74"/>
      <c r="B550" s="74"/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  <c r="Q550" s="74"/>
      <c r="R550" s="74"/>
      <c r="S550" s="74"/>
      <c r="T550" s="74"/>
      <c r="U550" s="74"/>
      <c r="V550" s="74"/>
      <c r="W550" s="74"/>
      <c r="X550" s="74"/>
      <c r="Y550" s="74"/>
    </row>
    <row r="551" ht="14.25" customHeight="1">
      <c r="A551" s="74"/>
      <c r="B551" s="74"/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  <c r="Q551" s="74"/>
      <c r="R551" s="74"/>
      <c r="S551" s="74"/>
      <c r="T551" s="74"/>
      <c r="U551" s="74"/>
      <c r="V551" s="74"/>
      <c r="W551" s="74"/>
      <c r="X551" s="74"/>
      <c r="Y551" s="74"/>
    </row>
    <row r="552" ht="14.25" customHeight="1">
      <c r="A552" s="74"/>
      <c r="B552" s="74"/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  <c r="Q552" s="74"/>
      <c r="R552" s="74"/>
      <c r="S552" s="74"/>
      <c r="T552" s="74"/>
      <c r="U552" s="74"/>
      <c r="V552" s="74"/>
      <c r="W552" s="74"/>
      <c r="X552" s="74"/>
      <c r="Y552" s="74"/>
    </row>
    <row r="553" ht="14.25" customHeight="1">
      <c r="A553" s="74"/>
      <c r="B553" s="74"/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  <c r="Q553" s="74"/>
      <c r="R553" s="74"/>
      <c r="S553" s="74"/>
      <c r="T553" s="74"/>
      <c r="U553" s="74"/>
      <c r="V553" s="74"/>
      <c r="W553" s="74"/>
      <c r="X553" s="74"/>
      <c r="Y553" s="74"/>
    </row>
    <row r="554" ht="14.25" customHeight="1">
      <c r="A554" s="74"/>
      <c r="B554" s="74"/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  <c r="Q554" s="74"/>
      <c r="R554" s="74"/>
      <c r="S554" s="74"/>
      <c r="T554" s="74"/>
      <c r="U554" s="74"/>
      <c r="V554" s="74"/>
      <c r="W554" s="74"/>
      <c r="X554" s="74"/>
      <c r="Y554" s="74"/>
    </row>
    <row r="555" ht="14.25" customHeight="1">
      <c r="A555" s="74"/>
      <c r="B555" s="74"/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  <c r="Q555" s="74"/>
      <c r="R555" s="74"/>
      <c r="S555" s="74"/>
      <c r="T555" s="74"/>
      <c r="U555" s="74"/>
      <c r="V555" s="74"/>
      <c r="W555" s="74"/>
      <c r="X555" s="74"/>
      <c r="Y555" s="74"/>
    </row>
    <row r="556" ht="14.25" customHeight="1">
      <c r="A556" s="74"/>
      <c r="B556" s="74"/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  <c r="Q556" s="74"/>
      <c r="R556" s="74"/>
      <c r="S556" s="74"/>
      <c r="T556" s="74"/>
      <c r="U556" s="74"/>
      <c r="V556" s="74"/>
      <c r="W556" s="74"/>
      <c r="X556" s="74"/>
      <c r="Y556" s="74"/>
    </row>
    <row r="557" ht="14.25" customHeight="1">
      <c r="A557" s="74"/>
      <c r="B557" s="74"/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  <c r="Q557" s="74"/>
      <c r="R557" s="74"/>
      <c r="S557" s="74"/>
      <c r="T557" s="74"/>
      <c r="U557" s="74"/>
      <c r="V557" s="74"/>
      <c r="W557" s="74"/>
      <c r="X557" s="74"/>
      <c r="Y557" s="74"/>
    </row>
    <row r="558" ht="14.25" customHeight="1">
      <c r="A558" s="74"/>
      <c r="B558" s="74"/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  <c r="Q558" s="74"/>
      <c r="R558" s="74"/>
      <c r="S558" s="74"/>
      <c r="T558" s="74"/>
      <c r="U558" s="74"/>
      <c r="V558" s="74"/>
      <c r="W558" s="74"/>
      <c r="X558" s="74"/>
      <c r="Y558" s="74"/>
    </row>
    <row r="559" ht="14.25" customHeight="1">
      <c r="A559" s="74"/>
      <c r="B559" s="74"/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  <c r="Q559" s="74"/>
      <c r="R559" s="74"/>
      <c r="S559" s="74"/>
      <c r="T559" s="74"/>
      <c r="U559" s="74"/>
      <c r="V559" s="74"/>
      <c r="W559" s="74"/>
      <c r="X559" s="74"/>
      <c r="Y559" s="74"/>
    </row>
    <row r="560" ht="14.25" customHeight="1">
      <c r="A560" s="74"/>
      <c r="B560" s="74"/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  <c r="Q560" s="74"/>
      <c r="R560" s="74"/>
      <c r="S560" s="74"/>
      <c r="T560" s="74"/>
      <c r="U560" s="74"/>
      <c r="V560" s="74"/>
      <c r="W560" s="74"/>
      <c r="X560" s="74"/>
      <c r="Y560" s="74"/>
    </row>
    <row r="561" ht="14.25" customHeight="1">
      <c r="A561" s="74"/>
      <c r="B561" s="74"/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  <c r="Q561" s="74"/>
      <c r="R561" s="74"/>
      <c r="S561" s="74"/>
      <c r="T561" s="74"/>
      <c r="U561" s="74"/>
      <c r="V561" s="74"/>
      <c r="W561" s="74"/>
      <c r="X561" s="74"/>
      <c r="Y561" s="74"/>
    </row>
    <row r="562" ht="14.25" customHeight="1">
      <c r="A562" s="74"/>
      <c r="B562" s="74"/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  <c r="Q562" s="74"/>
      <c r="R562" s="74"/>
      <c r="S562" s="74"/>
      <c r="T562" s="74"/>
      <c r="U562" s="74"/>
      <c r="V562" s="74"/>
      <c r="W562" s="74"/>
      <c r="X562" s="74"/>
      <c r="Y562" s="74"/>
    </row>
    <row r="563" ht="14.25" customHeight="1">
      <c r="A563" s="74"/>
      <c r="B563" s="74"/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  <c r="Q563" s="74"/>
      <c r="R563" s="74"/>
      <c r="S563" s="74"/>
      <c r="T563" s="74"/>
      <c r="U563" s="74"/>
      <c r="V563" s="74"/>
      <c r="W563" s="74"/>
      <c r="X563" s="74"/>
      <c r="Y563" s="74"/>
    </row>
    <row r="564" ht="14.25" customHeight="1">
      <c r="A564" s="74"/>
      <c r="B564" s="74"/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  <c r="Q564" s="74"/>
      <c r="R564" s="74"/>
      <c r="S564" s="74"/>
      <c r="T564" s="74"/>
      <c r="U564" s="74"/>
      <c r="V564" s="74"/>
      <c r="W564" s="74"/>
      <c r="X564" s="74"/>
      <c r="Y564" s="74"/>
    </row>
    <row r="565" ht="14.25" customHeight="1">
      <c r="A565" s="74"/>
      <c r="B565" s="74"/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  <c r="Q565" s="74"/>
      <c r="R565" s="74"/>
      <c r="S565" s="74"/>
      <c r="T565" s="74"/>
      <c r="U565" s="74"/>
      <c r="V565" s="74"/>
      <c r="W565" s="74"/>
      <c r="X565" s="74"/>
      <c r="Y565" s="74"/>
    </row>
    <row r="566" ht="14.25" customHeight="1">
      <c r="A566" s="74"/>
      <c r="B566" s="74"/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  <c r="Q566" s="74"/>
      <c r="R566" s="74"/>
      <c r="S566" s="74"/>
      <c r="T566" s="74"/>
      <c r="U566" s="74"/>
      <c r="V566" s="74"/>
      <c r="W566" s="74"/>
      <c r="X566" s="74"/>
      <c r="Y566" s="74"/>
    </row>
    <row r="567" ht="14.25" customHeight="1">
      <c r="A567" s="74"/>
      <c r="B567" s="74"/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  <c r="Q567" s="74"/>
      <c r="R567" s="74"/>
      <c r="S567" s="74"/>
      <c r="T567" s="74"/>
      <c r="U567" s="74"/>
      <c r="V567" s="74"/>
      <c r="W567" s="74"/>
      <c r="X567" s="74"/>
      <c r="Y567" s="74"/>
    </row>
    <row r="568" ht="14.25" customHeight="1">
      <c r="A568" s="74"/>
      <c r="B568" s="74"/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  <c r="Q568" s="74"/>
      <c r="R568" s="74"/>
      <c r="S568" s="74"/>
      <c r="T568" s="74"/>
      <c r="U568" s="74"/>
      <c r="V568" s="74"/>
      <c r="W568" s="74"/>
      <c r="X568" s="74"/>
      <c r="Y568" s="74"/>
    </row>
    <row r="569" ht="14.25" customHeight="1">
      <c r="A569" s="74"/>
      <c r="B569" s="74"/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  <c r="Q569" s="74"/>
      <c r="R569" s="74"/>
      <c r="S569" s="74"/>
      <c r="T569" s="74"/>
      <c r="U569" s="74"/>
      <c r="V569" s="74"/>
      <c r="W569" s="74"/>
      <c r="X569" s="74"/>
      <c r="Y569" s="74"/>
    </row>
    <row r="570" ht="14.25" customHeight="1">
      <c r="A570" s="74"/>
      <c r="B570" s="74"/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  <c r="Q570" s="74"/>
      <c r="R570" s="74"/>
      <c r="S570" s="74"/>
      <c r="T570" s="74"/>
      <c r="U570" s="74"/>
      <c r="V570" s="74"/>
      <c r="W570" s="74"/>
      <c r="X570" s="74"/>
      <c r="Y570" s="74"/>
    </row>
    <row r="571" ht="14.25" customHeight="1">
      <c r="A571" s="74"/>
      <c r="B571" s="74"/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  <c r="Q571" s="74"/>
      <c r="R571" s="74"/>
      <c r="S571" s="74"/>
      <c r="T571" s="74"/>
      <c r="U571" s="74"/>
      <c r="V571" s="74"/>
      <c r="W571" s="74"/>
      <c r="X571" s="74"/>
      <c r="Y571" s="74"/>
    </row>
    <row r="572" ht="14.25" customHeight="1">
      <c r="A572" s="74"/>
      <c r="B572" s="74"/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  <c r="Q572" s="74"/>
      <c r="R572" s="74"/>
      <c r="S572" s="74"/>
      <c r="T572" s="74"/>
      <c r="U572" s="74"/>
      <c r="V572" s="74"/>
      <c r="W572" s="74"/>
      <c r="X572" s="74"/>
      <c r="Y572" s="74"/>
    </row>
    <row r="573" ht="14.25" customHeight="1">
      <c r="A573" s="74"/>
      <c r="B573" s="74"/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  <c r="Q573" s="74"/>
      <c r="R573" s="74"/>
      <c r="S573" s="74"/>
      <c r="T573" s="74"/>
      <c r="U573" s="74"/>
      <c r="V573" s="74"/>
      <c r="W573" s="74"/>
      <c r="X573" s="74"/>
      <c r="Y573" s="74"/>
    </row>
    <row r="574" ht="14.25" customHeight="1">
      <c r="A574" s="74"/>
      <c r="B574" s="74"/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  <c r="Q574" s="74"/>
      <c r="R574" s="74"/>
      <c r="S574" s="74"/>
      <c r="T574" s="74"/>
      <c r="U574" s="74"/>
      <c r="V574" s="74"/>
      <c r="W574" s="74"/>
      <c r="X574" s="74"/>
      <c r="Y574" s="74"/>
    </row>
    <row r="575" ht="14.25" customHeight="1">
      <c r="A575" s="74"/>
      <c r="B575" s="74"/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  <c r="Q575" s="74"/>
      <c r="R575" s="74"/>
      <c r="S575" s="74"/>
      <c r="T575" s="74"/>
      <c r="U575" s="74"/>
      <c r="V575" s="74"/>
      <c r="W575" s="74"/>
      <c r="X575" s="74"/>
      <c r="Y575" s="74"/>
    </row>
    <row r="576" ht="14.25" customHeight="1">
      <c r="A576" s="74"/>
      <c r="B576" s="74"/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  <c r="Q576" s="74"/>
      <c r="R576" s="74"/>
      <c r="S576" s="74"/>
      <c r="T576" s="74"/>
      <c r="U576" s="74"/>
      <c r="V576" s="74"/>
      <c r="W576" s="74"/>
      <c r="X576" s="74"/>
      <c r="Y576" s="74"/>
    </row>
    <row r="577" ht="14.25" customHeight="1">
      <c r="A577" s="74"/>
      <c r="B577" s="74"/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  <c r="Q577" s="74"/>
      <c r="R577" s="74"/>
      <c r="S577" s="74"/>
      <c r="T577" s="74"/>
      <c r="U577" s="74"/>
      <c r="V577" s="74"/>
      <c r="W577" s="74"/>
      <c r="X577" s="74"/>
      <c r="Y577" s="74"/>
    </row>
    <row r="578" ht="14.25" customHeight="1">
      <c r="A578" s="74"/>
      <c r="B578" s="74"/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  <c r="Q578" s="74"/>
      <c r="R578" s="74"/>
      <c r="S578" s="74"/>
      <c r="T578" s="74"/>
      <c r="U578" s="74"/>
      <c r="V578" s="74"/>
      <c r="W578" s="74"/>
      <c r="X578" s="74"/>
      <c r="Y578" s="74"/>
    </row>
    <row r="579" ht="14.25" customHeight="1">
      <c r="A579" s="74"/>
      <c r="B579" s="74"/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  <c r="Q579" s="74"/>
      <c r="R579" s="74"/>
      <c r="S579" s="74"/>
      <c r="T579" s="74"/>
      <c r="U579" s="74"/>
      <c r="V579" s="74"/>
      <c r="W579" s="74"/>
      <c r="X579" s="74"/>
      <c r="Y579" s="74"/>
    </row>
    <row r="580" ht="14.25" customHeight="1">
      <c r="A580" s="74"/>
      <c r="B580" s="74"/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  <c r="Q580" s="74"/>
      <c r="R580" s="74"/>
      <c r="S580" s="74"/>
      <c r="T580" s="74"/>
      <c r="U580" s="74"/>
      <c r="V580" s="74"/>
      <c r="W580" s="74"/>
      <c r="X580" s="74"/>
      <c r="Y580" s="74"/>
    </row>
    <row r="581" ht="14.25" customHeight="1">
      <c r="A581" s="74"/>
      <c r="B581" s="74"/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  <c r="Q581" s="74"/>
      <c r="R581" s="74"/>
      <c r="S581" s="74"/>
      <c r="T581" s="74"/>
      <c r="U581" s="74"/>
      <c r="V581" s="74"/>
      <c r="W581" s="74"/>
      <c r="X581" s="74"/>
      <c r="Y581" s="74"/>
    </row>
    <row r="582" ht="14.25" customHeight="1">
      <c r="A582" s="74"/>
      <c r="B582" s="74"/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  <c r="Q582" s="74"/>
      <c r="R582" s="74"/>
      <c r="S582" s="74"/>
      <c r="T582" s="74"/>
      <c r="U582" s="74"/>
      <c r="V582" s="74"/>
      <c r="W582" s="74"/>
      <c r="X582" s="74"/>
      <c r="Y582" s="74"/>
    </row>
    <row r="583" ht="14.25" customHeight="1">
      <c r="A583" s="74"/>
      <c r="B583" s="74"/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  <c r="Q583" s="74"/>
      <c r="R583" s="74"/>
      <c r="S583" s="74"/>
      <c r="T583" s="74"/>
      <c r="U583" s="74"/>
      <c r="V583" s="74"/>
      <c r="W583" s="74"/>
      <c r="X583" s="74"/>
      <c r="Y583" s="74"/>
    </row>
    <row r="584" ht="14.25" customHeight="1">
      <c r="A584" s="74"/>
      <c r="B584" s="74"/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  <c r="Q584" s="74"/>
      <c r="R584" s="74"/>
      <c r="S584" s="74"/>
      <c r="T584" s="74"/>
      <c r="U584" s="74"/>
      <c r="V584" s="74"/>
      <c r="W584" s="74"/>
      <c r="X584" s="74"/>
      <c r="Y584" s="74"/>
    </row>
    <row r="585" ht="14.25" customHeight="1">
      <c r="A585" s="74"/>
      <c r="B585" s="74"/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  <c r="Q585" s="74"/>
      <c r="R585" s="74"/>
      <c r="S585" s="74"/>
      <c r="T585" s="74"/>
      <c r="U585" s="74"/>
      <c r="V585" s="74"/>
      <c r="W585" s="74"/>
      <c r="X585" s="74"/>
      <c r="Y585" s="74"/>
    </row>
    <row r="586" ht="14.25" customHeight="1">
      <c r="A586" s="74"/>
      <c r="B586" s="74"/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  <c r="Q586" s="74"/>
      <c r="R586" s="74"/>
      <c r="S586" s="74"/>
      <c r="T586" s="74"/>
      <c r="U586" s="74"/>
      <c r="V586" s="74"/>
      <c r="W586" s="74"/>
      <c r="X586" s="74"/>
      <c r="Y586" s="74"/>
    </row>
    <row r="587" ht="14.25" customHeight="1">
      <c r="A587" s="74"/>
      <c r="B587" s="74"/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  <c r="Q587" s="74"/>
      <c r="R587" s="74"/>
      <c r="S587" s="74"/>
      <c r="T587" s="74"/>
      <c r="U587" s="74"/>
      <c r="V587" s="74"/>
      <c r="W587" s="74"/>
      <c r="X587" s="74"/>
      <c r="Y587" s="74"/>
    </row>
    <row r="588" ht="14.25" customHeight="1">
      <c r="A588" s="74"/>
      <c r="B588" s="74"/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  <c r="Q588" s="74"/>
      <c r="R588" s="74"/>
      <c r="S588" s="74"/>
      <c r="T588" s="74"/>
      <c r="U588" s="74"/>
      <c r="V588" s="74"/>
      <c r="W588" s="74"/>
      <c r="X588" s="74"/>
      <c r="Y588" s="74"/>
    </row>
    <row r="589" ht="14.25" customHeight="1">
      <c r="A589" s="74"/>
      <c r="B589" s="74"/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  <c r="Q589" s="74"/>
      <c r="R589" s="74"/>
      <c r="S589" s="74"/>
      <c r="T589" s="74"/>
      <c r="U589" s="74"/>
      <c r="V589" s="74"/>
      <c r="W589" s="74"/>
      <c r="X589" s="74"/>
      <c r="Y589" s="74"/>
    </row>
    <row r="590" ht="14.25" customHeight="1">
      <c r="A590" s="74"/>
      <c r="B590" s="74"/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  <c r="Q590" s="74"/>
      <c r="R590" s="74"/>
      <c r="S590" s="74"/>
      <c r="T590" s="74"/>
      <c r="U590" s="74"/>
      <c r="V590" s="74"/>
      <c r="W590" s="74"/>
      <c r="X590" s="74"/>
      <c r="Y590" s="74"/>
    </row>
    <row r="591" ht="14.25" customHeight="1">
      <c r="A591" s="74"/>
      <c r="B591" s="74"/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  <c r="Q591" s="74"/>
      <c r="R591" s="74"/>
      <c r="S591" s="74"/>
      <c r="T591" s="74"/>
      <c r="U591" s="74"/>
      <c r="V591" s="74"/>
      <c r="W591" s="74"/>
      <c r="X591" s="74"/>
      <c r="Y591" s="74"/>
    </row>
    <row r="592" ht="14.25" customHeight="1">
      <c r="A592" s="74"/>
      <c r="B592" s="74"/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  <c r="Q592" s="74"/>
      <c r="R592" s="74"/>
      <c r="S592" s="74"/>
      <c r="T592" s="74"/>
      <c r="U592" s="74"/>
      <c r="V592" s="74"/>
      <c r="W592" s="74"/>
      <c r="X592" s="74"/>
      <c r="Y592" s="74"/>
    </row>
    <row r="593" ht="14.25" customHeight="1">
      <c r="A593" s="74"/>
      <c r="B593" s="74"/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</row>
    <row r="594" ht="14.25" customHeight="1">
      <c r="A594" s="74"/>
      <c r="B594" s="74"/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</row>
    <row r="595" ht="14.25" customHeight="1">
      <c r="A595" s="74"/>
      <c r="B595" s="74"/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  <c r="Q595" s="74"/>
      <c r="R595" s="74"/>
      <c r="S595" s="74"/>
      <c r="T595" s="74"/>
      <c r="U595" s="74"/>
      <c r="V595" s="74"/>
      <c r="W595" s="74"/>
      <c r="X595" s="74"/>
      <c r="Y595" s="74"/>
    </row>
    <row r="596" ht="14.25" customHeight="1">
      <c r="A596" s="74"/>
      <c r="B596" s="74"/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</row>
    <row r="597" ht="14.25" customHeight="1">
      <c r="A597" s="74"/>
      <c r="B597" s="74"/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/>
      <c r="T597" s="74"/>
      <c r="U597" s="74"/>
      <c r="V597" s="74"/>
      <c r="W597" s="74"/>
      <c r="X597" s="74"/>
      <c r="Y597" s="74"/>
    </row>
    <row r="598" ht="14.25" customHeight="1">
      <c r="A598" s="74"/>
      <c r="B598" s="74"/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</row>
    <row r="599" ht="14.25" customHeight="1">
      <c r="A599" s="74"/>
      <c r="B599" s="74"/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</row>
    <row r="600" ht="14.25" customHeight="1">
      <c r="A600" s="74"/>
      <c r="B600" s="74"/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</row>
    <row r="601" ht="14.25" customHeight="1">
      <c r="A601" s="74"/>
      <c r="B601" s="74"/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</row>
    <row r="602" ht="14.25" customHeight="1">
      <c r="A602" s="74"/>
      <c r="B602" s="74"/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  <c r="Q602" s="74"/>
      <c r="R602" s="74"/>
      <c r="S602" s="74"/>
      <c r="T602" s="74"/>
      <c r="U602" s="74"/>
      <c r="V602" s="74"/>
      <c r="W602" s="74"/>
      <c r="X602" s="74"/>
      <c r="Y602" s="74"/>
    </row>
    <row r="603" ht="14.25" customHeight="1">
      <c r="A603" s="74"/>
      <c r="B603" s="74"/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  <c r="Q603" s="74"/>
      <c r="R603" s="74"/>
      <c r="S603" s="74"/>
      <c r="T603" s="74"/>
      <c r="U603" s="74"/>
      <c r="V603" s="74"/>
      <c r="W603" s="74"/>
      <c r="X603" s="74"/>
      <c r="Y603" s="74"/>
    </row>
    <row r="604" ht="14.25" customHeight="1">
      <c r="A604" s="74"/>
      <c r="B604" s="74"/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</row>
    <row r="605" ht="14.25" customHeight="1">
      <c r="A605" s="74"/>
      <c r="B605" s="74"/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  <c r="Q605" s="74"/>
      <c r="R605" s="74"/>
      <c r="S605" s="74"/>
      <c r="T605" s="74"/>
      <c r="U605" s="74"/>
      <c r="V605" s="74"/>
      <c r="W605" s="74"/>
      <c r="X605" s="74"/>
      <c r="Y605" s="74"/>
    </row>
    <row r="606" ht="14.25" customHeight="1">
      <c r="A606" s="74"/>
      <c r="B606" s="74"/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</row>
    <row r="607" ht="14.25" customHeight="1">
      <c r="A607" s="74"/>
      <c r="B607" s="74"/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</row>
    <row r="608" ht="14.25" customHeight="1">
      <c r="A608" s="74"/>
      <c r="B608" s="74"/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/>
      <c r="T608" s="74"/>
      <c r="U608" s="74"/>
      <c r="V608" s="74"/>
      <c r="W608" s="74"/>
      <c r="X608" s="74"/>
      <c r="Y608" s="74"/>
    </row>
    <row r="609" ht="14.25" customHeight="1">
      <c r="A609" s="74"/>
      <c r="B609" s="74"/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</row>
    <row r="610" ht="14.25" customHeight="1">
      <c r="A610" s="74"/>
      <c r="B610" s="74"/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</row>
    <row r="611" ht="14.25" customHeight="1">
      <c r="A611" s="74"/>
      <c r="B611" s="74"/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  <c r="Q611" s="74"/>
      <c r="R611" s="74"/>
      <c r="S611" s="74"/>
      <c r="T611" s="74"/>
      <c r="U611" s="74"/>
      <c r="V611" s="74"/>
      <c r="W611" s="74"/>
      <c r="X611" s="74"/>
      <c r="Y611" s="74"/>
    </row>
    <row r="612" ht="14.25" customHeight="1">
      <c r="A612" s="74"/>
      <c r="B612" s="74"/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</row>
    <row r="613" ht="14.25" customHeight="1">
      <c r="A613" s="74"/>
      <c r="B613" s="74"/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  <c r="Q613" s="74"/>
      <c r="R613" s="74"/>
      <c r="S613" s="74"/>
      <c r="T613" s="74"/>
      <c r="U613" s="74"/>
      <c r="V613" s="74"/>
      <c r="W613" s="74"/>
      <c r="X613" s="74"/>
      <c r="Y613" s="74"/>
    </row>
    <row r="614" ht="14.25" customHeight="1">
      <c r="A614" s="74"/>
      <c r="B614" s="74"/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</row>
    <row r="615" ht="14.25" customHeight="1">
      <c r="A615" s="74"/>
      <c r="B615" s="74"/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  <c r="Q615" s="74"/>
      <c r="R615" s="74"/>
      <c r="S615" s="74"/>
      <c r="T615" s="74"/>
      <c r="U615" s="74"/>
      <c r="V615" s="74"/>
      <c r="W615" s="74"/>
      <c r="X615" s="74"/>
      <c r="Y615" s="74"/>
    </row>
    <row r="616" ht="14.25" customHeight="1">
      <c r="A616" s="74"/>
      <c r="B616" s="74"/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  <c r="Q616" s="74"/>
      <c r="R616" s="74"/>
      <c r="S616" s="74"/>
      <c r="T616" s="74"/>
      <c r="U616" s="74"/>
      <c r="V616" s="74"/>
      <c r="W616" s="74"/>
      <c r="X616" s="74"/>
      <c r="Y616" s="74"/>
    </row>
    <row r="617" ht="14.25" customHeight="1">
      <c r="A617" s="74"/>
      <c r="B617" s="74"/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  <c r="Q617" s="74"/>
      <c r="R617" s="74"/>
      <c r="S617" s="74"/>
      <c r="T617" s="74"/>
      <c r="U617" s="74"/>
      <c r="V617" s="74"/>
      <c r="W617" s="74"/>
      <c r="X617" s="74"/>
      <c r="Y617" s="74"/>
    </row>
    <row r="618" ht="14.25" customHeight="1">
      <c r="A618" s="74"/>
      <c r="B618" s="74"/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  <c r="Q618" s="74"/>
      <c r="R618" s="74"/>
      <c r="S618" s="74"/>
      <c r="T618" s="74"/>
      <c r="U618" s="74"/>
      <c r="V618" s="74"/>
      <c r="W618" s="74"/>
      <c r="X618" s="74"/>
      <c r="Y618" s="74"/>
    </row>
    <row r="619" ht="14.25" customHeight="1">
      <c r="A619" s="74"/>
      <c r="B619" s="74"/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  <c r="Q619" s="74"/>
      <c r="R619" s="74"/>
      <c r="S619" s="74"/>
      <c r="T619" s="74"/>
      <c r="U619" s="74"/>
      <c r="V619" s="74"/>
      <c r="W619" s="74"/>
      <c r="X619" s="74"/>
      <c r="Y619" s="74"/>
    </row>
    <row r="620" ht="14.25" customHeight="1">
      <c r="A620" s="74"/>
      <c r="B620" s="74"/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</row>
    <row r="621" ht="14.25" customHeight="1">
      <c r="A621" s="74"/>
      <c r="B621" s="74"/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</row>
    <row r="622" ht="14.25" customHeight="1">
      <c r="A622" s="74"/>
      <c r="B622" s="74"/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</row>
    <row r="623" ht="14.25" customHeight="1">
      <c r="A623" s="74"/>
      <c r="B623" s="74"/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</row>
    <row r="624" ht="14.25" customHeight="1">
      <c r="A624" s="74"/>
      <c r="B624" s="74"/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</row>
    <row r="625" ht="14.25" customHeight="1">
      <c r="A625" s="74"/>
      <c r="B625" s="74"/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</row>
    <row r="626" ht="14.25" customHeight="1">
      <c r="A626" s="74"/>
      <c r="B626" s="74"/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  <c r="Q626" s="74"/>
      <c r="R626" s="74"/>
      <c r="S626" s="74"/>
      <c r="T626" s="74"/>
      <c r="U626" s="74"/>
      <c r="V626" s="74"/>
      <c r="W626" s="74"/>
      <c r="X626" s="74"/>
      <c r="Y626" s="74"/>
    </row>
    <row r="627" ht="14.25" customHeight="1">
      <c r="A627" s="74"/>
      <c r="B627" s="74"/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</row>
    <row r="628" ht="14.25" customHeight="1">
      <c r="A628" s="74"/>
      <c r="B628" s="74"/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</row>
    <row r="629" ht="14.25" customHeight="1">
      <c r="A629" s="74"/>
      <c r="B629" s="74"/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  <c r="Q629" s="74"/>
      <c r="R629" s="74"/>
      <c r="S629" s="74"/>
      <c r="T629" s="74"/>
      <c r="U629" s="74"/>
      <c r="V629" s="74"/>
      <c r="W629" s="74"/>
      <c r="X629" s="74"/>
      <c r="Y629" s="74"/>
    </row>
    <row r="630" ht="14.25" customHeight="1">
      <c r="A630" s="74"/>
      <c r="B630" s="74"/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  <c r="Q630" s="74"/>
      <c r="R630" s="74"/>
      <c r="S630" s="74"/>
      <c r="T630" s="74"/>
      <c r="U630" s="74"/>
      <c r="V630" s="74"/>
      <c r="W630" s="74"/>
      <c r="X630" s="74"/>
      <c r="Y630" s="74"/>
    </row>
    <row r="631" ht="14.25" customHeight="1">
      <c r="A631" s="74"/>
      <c r="B631" s="74"/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/>
    </row>
    <row r="632" ht="14.25" customHeight="1">
      <c r="A632" s="74"/>
      <c r="B632" s="74"/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</row>
    <row r="633" ht="14.25" customHeight="1">
      <c r="A633" s="74"/>
      <c r="B633" s="74"/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</row>
    <row r="634" ht="14.25" customHeight="1">
      <c r="A634" s="74"/>
      <c r="B634" s="74"/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</row>
    <row r="635" ht="14.25" customHeight="1">
      <c r="A635" s="74"/>
      <c r="B635" s="74"/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  <c r="Q635" s="74"/>
      <c r="R635" s="74"/>
      <c r="S635" s="74"/>
      <c r="T635" s="74"/>
      <c r="U635" s="74"/>
      <c r="V635" s="74"/>
      <c r="W635" s="74"/>
      <c r="X635" s="74"/>
      <c r="Y635" s="74"/>
    </row>
    <row r="636" ht="14.25" customHeight="1">
      <c r="A636" s="74"/>
      <c r="B636" s="74"/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/>
    </row>
    <row r="637" ht="14.25" customHeight="1">
      <c r="A637" s="74"/>
      <c r="B637" s="74"/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  <c r="Q637" s="74"/>
      <c r="R637" s="74"/>
      <c r="S637" s="74"/>
      <c r="T637" s="74"/>
      <c r="U637" s="74"/>
      <c r="V637" s="74"/>
      <c r="W637" s="74"/>
      <c r="X637" s="74"/>
      <c r="Y637" s="74"/>
    </row>
    <row r="638" ht="14.25" customHeight="1">
      <c r="A638" s="74"/>
      <c r="B638" s="74"/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  <c r="Q638" s="74"/>
      <c r="R638" s="74"/>
      <c r="S638" s="74"/>
      <c r="T638" s="74"/>
      <c r="U638" s="74"/>
      <c r="V638" s="74"/>
      <c r="W638" s="74"/>
      <c r="X638" s="74"/>
      <c r="Y638" s="74"/>
    </row>
    <row r="639" ht="14.25" customHeight="1">
      <c r="A639" s="74"/>
      <c r="B639" s="74"/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/>
    </row>
    <row r="640" ht="14.25" customHeight="1">
      <c r="A640" s="74"/>
      <c r="B640" s="74"/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  <c r="Q640" s="74"/>
      <c r="R640" s="74"/>
      <c r="S640" s="74"/>
      <c r="T640" s="74"/>
      <c r="U640" s="74"/>
      <c r="V640" s="74"/>
      <c r="W640" s="74"/>
      <c r="X640" s="74"/>
      <c r="Y640" s="74"/>
    </row>
    <row r="641" ht="14.25" customHeight="1">
      <c r="A641" s="74"/>
      <c r="B641" s="74"/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</row>
    <row r="642" ht="14.25" customHeight="1">
      <c r="A642" s="74"/>
      <c r="B642" s="74"/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/>
      <c r="V642" s="74"/>
      <c r="W642" s="74"/>
      <c r="X642" s="74"/>
      <c r="Y642" s="74"/>
    </row>
    <row r="643" ht="14.25" customHeight="1">
      <c r="A643" s="74"/>
      <c r="B643" s="74"/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/>
    </row>
    <row r="644" ht="14.25" customHeight="1">
      <c r="A644" s="74"/>
      <c r="B644" s="74"/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  <c r="Q644" s="74"/>
      <c r="R644" s="74"/>
      <c r="S644" s="74"/>
      <c r="T644" s="74"/>
      <c r="U644" s="74"/>
      <c r="V644" s="74"/>
      <c r="W644" s="74"/>
      <c r="X644" s="74"/>
      <c r="Y644" s="74"/>
    </row>
    <row r="645" ht="14.25" customHeight="1">
      <c r="A645" s="74"/>
      <c r="B645" s="74"/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</row>
    <row r="646" ht="14.25" customHeight="1">
      <c r="A646" s="74"/>
      <c r="B646" s="74"/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</row>
    <row r="647" ht="14.25" customHeight="1">
      <c r="A647" s="74"/>
      <c r="B647" s="74"/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  <c r="Q647" s="74"/>
      <c r="R647" s="74"/>
      <c r="S647" s="74"/>
      <c r="T647" s="74"/>
      <c r="U647" s="74"/>
      <c r="V647" s="74"/>
      <c r="W647" s="74"/>
      <c r="X647" s="74"/>
      <c r="Y647" s="74"/>
    </row>
    <row r="648" ht="14.25" customHeight="1">
      <c r="A648" s="74"/>
      <c r="B648" s="74"/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  <c r="Q648" s="74"/>
      <c r="R648" s="74"/>
      <c r="S648" s="74"/>
      <c r="T648" s="74"/>
      <c r="U648" s="74"/>
      <c r="V648" s="74"/>
      <c r="W648" s="74"/>
      <c r="X648" s="74"/>
      <c r="Y648" s="74"/>
    </row>
    <row r="649" ht="14.25" customHeight="1">
      <c r="A649" s="74"/>
      <c r="B649" s="74"/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</row>
    <row r="650" ht="14.25" customHeight="1">
      <c r="A650" s="74"/>
      <c r="B650" s="74"/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  <c r="Q650" s="74"/>
      <c r="R650" s="74"/>
      <c r="S650" s="74"/>
      <c r="T650" s="74"/>
      <c r="U650" s="74"/>
      <c r="V650" s="74"/>
      <c r="W650" s="74"/>
      <c r="X650" s="74"/>
      <c r="Y650" s="74"/>
    </row>
    <row r="651" ht="14.25" customHeight="1">
      <c r="A651" s="74"/>
      <c r="B651" s="74"/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</row>
    <row r="652" ht="14.25" customHeight="1">
      <c r="A652" s="74"/>
      <c r="B652" s="74"/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  <c r="Q652" s="74"/>
      <c r="R652" s="74"/>
      <c r="S652" s="74"/>
      <c r="T652" s="74"/>
      <c r="U652" s="74"/>
      <c r="V652" s="74"/>
      <c r="W652" s="74"/>
      <c r="X652" s="74"/>
      <c r="Y652" s="74"/>
    </row>
    <row r="653" ht="14.25" customHeight="1">
      <c r="A653" s="74"/>
      <c r="B653" s="74"/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/>
      <c r="V653" s="74"/>
      <c r="W653" s="74"/>
      <c r="X653" s="74"/>
      <c r="Y653" s="74"/>
    </row>
    <row r="654" ht="14.25" customHeight="1">
      <c r="A654" s="74"/>
      <c r="B654" s="74"/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</row>
    <row r="655" ht="14.25" customHeight="1">
      <c r="A655" s="74"/>
      <c r="B655" s="74"/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</row>
    <row r="656" ht="14.25" customHeight="1">
      <c r="A656" s="74"/>
      <c r="B656" s="74"/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  <c r="Q656" s="74"/>
      <c r="R656" s="74"/>
      <c r="S656" s="74"/>
      <c r="T656" s="74"/>
      <c r="U656" s="74"/>
      <c r="V656" s="74"/>
      <c r="W656" s="74"/>
      <c r="X656" s="74"/>
      <c r="Y656" s="74"/>
    </row>
    <row r="657" ht="14.25" customHeight="1">
      <c r="A657" s="74"/>
      <c r="B657" s="74"/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</row>
    <row r="658" ht="14.25" customHeight="1">
      <c r="A658" s="74"/>
      <c r="B658" s="74"/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  <c r="Q658" s="74"/>
      <c r="R658" s="74"/>
      <c r="S658" s="74"/>
      <c r="T658" s="74"/>
      <c r="U658" s="74"/>
      <c r="V658" s="74"/>
      <c r="W658" s="74"/>
      <c r="X658" s="74"/>
      <c r="Y658" s="74"/>
    </row>
    <row r="659" ht="14.25" customHeight="1">
      <c r="A659" s="74"/>
      <c r="B659" s="74"/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  <c r="Q659" s="74"/>
      <c r="R659" s="74"/>
      <c r="S659" s="74"/>
      <c r="T659" s="74"/>
      <c r="U659" s="74"/>
      <c r="V659" s="74"/>
      <c r="W659" s="74"/>
      <c r="X659" s="74"/>
      <c r="Y659" s="74"/>
    </row>
    <row r="660" ht="14.25" customHeight="1">
      <c r="A660" s="74"/>
      <c r="B660" s="74"/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</row>
    <row r="661" ht="14.25" customHeight="1">
      <c r="A661" s="74"/>
      <c r="B661" s="74"/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  <c r="Q661" s="74"/>
      <c r="R661" s="74"/>
      <c r="S661" s="74"/>
      <c r="T661" s="74"/>
      <c r="U661" s="74"/>
      <c r="V661" s="74"/>
      <c r="W661" s="74"/>
      <c r="X661" s="74"/>
      <c r="Y661" s="74"/>
    </row>
    <row r="662" ht="14.25" customHeight="1">
      <c r="A662" s="74"/>
      <c r="B662" s="74"/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</row>
    <row r="663" ht="14.25" customHeight="1">
      <c r="A663" s="74"/>
      <c r="B663" s="74"/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  <c r="Q663" s="74"/>
      <c r="R663" s="74"/>
      <c r="S663" s="74"/>
      <c r="T663" s="74"/>
      <c r="U663" s="74"/>
      <c r="V663" s="74"/>
      <c r="W663" s="74"/>
      <c r="X663" s="74"/>
      <c r="Y663" s="74"/>
    </row>
    <row r="664" ht="14.25" customHeight="1">
      <c r="A664" s="74"/>
      <c r="B664" s="74"/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</row>
    <row r="665" ht="14.25" customHeight="1">
      <c r="A665" s="74"/>
      <c r="B665" s="74"/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  <c r="Q665" s="74"/>
      <c r="R665" s="74"/>
      <c r="S665" s="74"/>
      <c r="T665" s="74"/>
      <c r="U665" s="74"/>
      <c r="V665" s="74"/>
      <c r="W665" s="74"/>
      <c r="X665" s="74"/>
      <c r="Y665" s="74"/>
    </row>
    <row r="666" ht="14.25" customHeight="1">
      <c r="A666" s="74"/>
      <c r="B666" s="74"/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</row>
    <row r="667" ht="14.25" customHeight="1">
      <c r="A667" s="74"/>
      <c r="B667" s="74"/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</row>
    <row r="668" ht="14.25" customHeight="1">
      <c r="A668" s="74"/>
      <c r="B668" s="74"/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</row>
    <row r="669" ht="14.25" customHeight="1">
      <c r="A669" s="74"/>
      <c r="B669" s="74"/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</row>
    <row r="670" ht="14.25" customHeight="1">
      <c r="A670" s="74"/>
      <c r="B670" s="74"/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</row>
    <row r="671" ht="14.25" customHeight="1">
      <c r="A671" s="74"/>
      <c r="B671" s="74"/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  <c r="Q671" s="74"/>
      <c r="R671" s="74"/>
      <c r="S671" s="74"/>
      <c r="T671" s="74"/>
      <c r="U671" s="74"/>
      <c r="V671" s="74"/>
      <c r="W671" s="74"/>
      <c r="X671" s="74"/>
      <c r="Y671" s="74"/>
    </row>
    <row r="672" ht="14.25" customHeight="1">
      <c r="A672" s="74"/>
      <c r="B672" s="74"/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</row>
    <row r="673" ht="14.25" customHeight="1">
      <c r="A673" s="74"/>
      <c r="B673" s="74"/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  <c r="Q673" s="74"/>
      <c r="R673" s="74"/>
      <c r="S673" s="74"/>
      <c r="T673" s="74"/>
      <c r="U673" s="74"/>
      <c r="V673" s="74"/>
      <c r="W673" s="74"/>
      <c r="X673" s="74"/>
      <c r="Y673" s="74"/>
    </row>
    <row r="674" ht="14.25" customHeight="1">
      <c r="A674" s="74"/>
      <c r="B674" s="74"/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  <c r="Q674" s="74"/>
      <c r="R674" s="74"/>
      <c r="S674" s="74"/>
      <c r="T674" s="74"/>
      <c r="U674" s="74"/>
      <c r="V674" s="74"/>
      <c r="W674" s="74"/>
      <c r="X674" s="74"/>
      <c r="Y674" s="74"/>
    </row>
    <row r="675" ht="14.25" customHeight="1">
      <c r="A675" s="74"/>
      <c r="B675" s="74"/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</row>
    <row r="676" ht="14.25" customHeight="1">
      <c r="A676" s="74"/>
      <c r="B676" s="74"/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</row>
    <row r="677" ht="14.25" customHeight="1">
      <c r="A677" s="74"/>
      <c r="B677" s="74"/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</row>
    <row r="678" ht="14.25" customHeight="1">
      <c r="A678" s="74"/>
      <c r="B678" s="74"/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/>
    </row>
    <row r="679" ht="14.25" customHeight="1">
      <c r="A679" s="74"/>
      <c r="B679" s="74"/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  <c r="Q679" s="74"/>
      <c r="R679" s="74"/>
      <c r="S679" s="74"/>
      <c r="T679" s="74"/>
      <c r="U679" s="74"/>
      <c r="V679" s="74"/>
      <c r="W679" s="74"/>
      <c r="X679" s="74"/>
      <c r="Y679" s="74"/>
    </row>
    <row r="680" ht="14.25" customHeight="1">
      <c r="A680" s="74"/>
      <c r="B680" s="74"/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</row>
    <row r="681" ht="14.25" customHeight="1">
      <c r="A681" s="74"/>
      <c r="B681" s="74"/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/>
      <c r="Y681" s="74"/>
    </row>
    <row r="682" ht="14.25" customHeight="1">
      <c r="A682" s="74"/>
      <c r="B682" s="74"/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/>
      <c r="T682" s="74"/>
      <c r="U682" s="74"/>
      <c r="V682" s="74"/>
      <c r="W682" s="74"/>
      <c r="X682" s="74"/>
      <c r="Y682" s="74"/>
    </row>
    <row r="683" ht="14.25" customHeight="1">
      <c r="A683" s="74"/>
      <c r="B683" s="74"/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  <c r="Q683" s="74"/>
      <c r="R683" s="74"/>
      <c r="S683" s="74"/>
      <c r="T683" s="74"/>
      <c r="U683" s="74"/>
      <c r="V683" s="74"/>
      <c r="W683" s="74"/>
      <c r="X683" s="74"/>
      <c r="Y683" s="74"/>
    </row>
    <row r="684" ht="14.25" customHeight="1">
      <c r="A684" s="74"/>
      <c r="B684" s="74"/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</row>
    <row r="685" ht="14.25" customHeight="1">
      <c r="A685" s="74"/>
      <c r="B685" s="74"/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</row>
    <row r="686" ht="14.25" customHeight="1">
      <c r="A686" s="74"/>
      <c r="B686" s="74"/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  <c r="Q686" s="74"/>
      <c r="R686" s="74"/>
      <c r="S686" s="74"/>
      <c r="T686" s="74"/>
      <c r="U686" s="74"/>
      <c r="V686" s="74"/>
      <c r="W686" s="74"/>
      <c r="X686" s="74"/>
      <c r="Y686" s="74"/>
    </row>
    <row r="687" ht="14.25" customHeight="1">
      <c r="A687" s="74"/>
      <c r="B687" s="74"/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/>
    </row>
    <row r="688" ht="14.25" customHeight="1">
      <c r="A688" s="74"/>
      <c r="B688" s="74"/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  <c r="Q688" s="74"/>
      <c r="R688" s="74"/>
      <c r="S688" s="74"/>
      <c r="T688" s="74"/>
      <c r="U688" s="74"/>
      <c r="V688" s="74"/>
      <c r="W688" s="74"/>
      <c r="X688" s="74"/>
      <c r="Y688" s="74"/>
    </row>
    <row r="689" ht="14.25" customHeight="1">
      <c r="A689" s="74"/>
      <c r="B689" s="74"/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</row>
    <row r="690" ht="14.25" customHeight="1">
      <c r="A690" s="74"/>
      <c r="B690" s="74"/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</row>
    <row r="691" ht="14.25" customHeight="1">
      <c r="A691" s="74"/>
      <c r="B691" s="74"/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</row>
    <row r="692" ht="14.25" customHeight="1">
      <c r="A692" s="74"/>
      <c r="B692" s="74"/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</row>
    <row r="693" ht="14.25" customHeight="1">
      <c r="A693" s="74"/>
      <c r="B693" s="74"/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</row>
    <row r="694" ht="14.25" customHeight="1">
      <c r="A694" s="74"/>
      <c r="B694" s="74"/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  <c r="U694" s="74"/>
      <c r="V694" s="74"/>
      <c r="W694" s="74"/>
      <c r="X694" s="74"/>
      <c r="Y694" s="74"/>
    </row>
    <row r="695" ht="14.25" customHeight="1">
      <c r="A695" s="74"/>
      <c r="B695" s="74"/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  <c r="U695" s="74"/>
      <c r="V695" s="74"/>
      <c r="W695" s="74"/>
      <c r="X695" s="74"/>
      <c r="Y695" s="74"/>
    </row>
    <row r="696" ht="14.25" customHeight="1">
      <c r="A696" s="74"/>
      <c r="B696" s="74"/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  <c r="U696" s="74"/>
      <c r="V696" s="74"/>
      <c r="W696" s="74"/>
      <c r="X696" s="74"/>
      <c r="Y696" s="74"/>
    </row>
    <row r="697" ht="14.25" customHeight="1">
      <c r="A697" s="74"/>
      <c r="B697" s="74"/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</row>
    <row r="698" ht="14.25" customHeight="1">
      <c r="A698" s="74"/>
      <c r="B698" s="74"/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</row>
    <row r="699" ht="14.25" customHeight="1">
      <c r="A699" s="74"/>
      <c r="B699" s="74"/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/>
    </row>
    <row r="700" ht="14.25" customHeight="1">
      <c r="A700" s="74"/>
      <c r="B700" s="74"/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</row>
    <row r="701" ht="14.25" customHeight="1">
      <c r="A701" s="74"/>
      <c r="B701" s="74"/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</row>
    <row r="702" ht="14.25" customHeight="1">
      <c r="A702" s="74"/>
      <c r="B702" s="74"/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  <c r="U702" s="74"/>
      <c r="V702" s="74"/>
      <c r="W702" s="74"/>
      <c r="X702" s="74"/>
      <c r="Y702" s="74"/>
    </row>
    <row r="703" ht="14.25" customHeight="1">
      <c r="A703" s="74"/>
      <c r="B703" s="74"/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</row>
    <row r="704" ht="14.25" customHeight="1">
      <c r="A704" s="74"/>
      <c r="B704" s="74"/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  <c r="U704" s="74"/>
      <c r="V704" s="74"/>
      <c r="W704" s="74"/>
      <c r="X704" s="74"/>
      <c r="Y704" s="74"/>
    </row>
    <row r="705" ht="14.25" customHeight="1">
      <c r="A705" s="74"/>
      <c r="B705" s="74"/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  <c r="U705" s="74"/>
      <c r="V705" s="74"/>
      <c r="W705" s="74"/>
      <c r="X705" s="74"/>
      <c r="Y705" s="74"/>
    </row>
    <row r="706" ht="14.25" customHeight="1">
      <c r="A706" s="74"/>
      <c r="B706" s="74"/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</row>
    <row r="707" ht="14.25" customHeight="1">
      <c r="A707" s="74"/>
      <c r="B707" s="74"/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  <c r="U707" s="74"/>
      <c r="V707" s="74"/>
      <c r="W707" s="74"/>
      <c r="X707" s="74"/>
      <c r="Y707" s="74"/>
    </row>
    <row r="708" ht="14.25" customHeight="1">
      <c r="A708" s="74"/>
      <c r="B708" s="74"/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</row>
    <row r="709" ht="14.25" customHeight="1">
      <c r="A709" s="74"/>
      <c r="B709" s="74"/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</row>
    <row r="710" ht="14.25" customHeight="1">
      <c r="A710" s="74"/>
      <c r="B710" s="74"/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  <c r="U710" s="74"/>
      <c r="V710" s="74"/>
      <c r="W710" s="74"/>
      <c r="X710" s="74"/>
      <c r="Y710" s="74"/>
    </row>
    <row r="711" ht="14.25" customHeight="1">
      <c r="A711" s="74"/>
      <c r="B711" s="74"/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</row>
    <row r="712" ht="14.25" customHeight="1">
      <c r="A712" s="74"/>
      <c r="B712" s="74"/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  <c r="U712" s="74"/>
      <c r="V712" s="74"/>
      <c r="W712" s="74"/>
      <c r="X712" s="74"/>
      <c r="Y712" s="74"/>
    </row>
    <row r="713" ht="14.25" customHeight="1">
      <c r="A713" s="74"/>
      <c r="B713" s="74"/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  <c r="U713" s="74"/>
      <c r="V713" s="74"/>
      <c r="W713" s="74"/>
      <c r="X713" s="74"/>
      <c r="Y713" s="74"/>
    </row>
    <row r="714" ht="14.25" customHeight="1">
      <c r="A714" s="74"/>
      <c r="B714" s="74"/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</row>
    <row r="715" ht="14.25" customHeight="1">
      <c r="A715" s="74"/>
      <c r="B715" s="74"/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  <c r="U715" s="74"/>
      <c r="V715" s="74"/>
      <c r="W715" s="74"/>
      <c r="X715" s="74"/>
      <c r="Y715" s="74"/>
    </row>
    <row r="716" ht="14.25" customHeight="1">
      <c r="A716" s="74"/>
      <c r="B716" s="74"/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</row>
    <row r="717" ht="14.25" customHeight="1">
      <c r="A717" s="74"/>
      <c r="B717" s="74"/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  <c r="U717" s="74"/>
      <c r="V717" s="74"/>
      <c r="W717" s="74"/>
      <c r="X717" s="74"/>
      <c r="Y717" s="74"/>
    </row>
    <row r="718" ht="14.25" customHeight="1">
      <c r="A718" s="74"/>
      <c r="B718" s="74"/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/>
    </row>
    <row r="719" ht="14.25" customHeight="1">
      <c r="A719" s="74"/>
      <c r="B719" s="74"/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  <c r="U719" s="74"/>
      <c r="V719" s="74"/>
      <c r="W719" s="74"/>
      <c r="X719" s="74"/>
      <c r="Y719" s="74"/>
    </row>
    <row r="720" ht="14.25" customHeight="1">
      <c r="A720" s="74"/>
      <c r="B720" s="74"/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</row>
    <row r="721" ht="14.25" customHeight="1">
      <c r="A721" s="74"/>
      <c r="B721" s="74"/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  <c r="U721" s="74"/>
      <c r="V721" s="74"/>
      <c r="W721" s="74"/>
      <c r="X721" s="74"/>
      <c r="Y721" s="74"/>
    </row>
    <row r="722" ht="14.25" customHeight="1">
      <c r="A722" s="74"/>
      <c r="B722" s="74"/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  <c r="U722" s="74"/>
      <c r="V722" s="74"/>
      <c r="W722" s="74"/>
      <c r="X722" s="74"/>
      <c r="Y722" s="74"/>
    </row>
    <row r="723" ht="14.25" customHeight="1">
      <c r="A723" s="74"/>
      <c r="B723" s="74"/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  <c r="U723" s="74"/>
      <c r="V723" s="74"/>
      <c r="W723" s="74"/>
      <c r="X723" s="74"/>
      <c r="Y723" s="74"/>
    </row>
    <row r="724" ht="14.25" customHeight="1">
      <c r="A724" s="74"/>
      <c r="B724" s="74"/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  <c r="U724" s="74"/>
      <c r="V724" s="74"/>
      <c r="W724" s="74"/>
      <c r="X724" s="74"/>
      <c r="Y724" s="74"/>
    </row>
    <row r="725" ht="14.25" customHeight="1">
      <c r="A725" s="74"/>
      <c r="B725" s="74"/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  <c r="U725" s="74"/>
      <c r="V725" s="74"/>
      <c r="W725" s="74"/>
      <c r="X725" s="74"/>
      <c r="Y725" s="74"/>
    </row>
    <row r="726" ht="14.25" customHeight="1">
      <c r="A726" s="74"/>
      <c r="B726" s="74"/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  <c r="U726" s="74"/>
      <c r="V726" s="74"/>
      <c r="W726" s="74"/>
      <c r="X726" s="74"/>
      <c r="Y726" s="74"/>
    </row>
    <row r="727" ht="14.25" customHeight="1">
      <c r="A727" s="74"/>
      <c r="B727" s="74"/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  <c r="U727" s="74"/>
      <c r="V727" s="74"/>
      <c r="W727" s="74"/>
      <c r="X727" s="74"/>
      <c r="Y727" s="74"/>
    </row>
    <row r="728" ht="14.25" customHeight="1">
      <c r="A728" s="74"/>
      <c r="B728" s="74"/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  <c r="U728" s="74"/>
      <c r="V728" s="74"/>
      <c r="W728" s="74"/>
      <c r="X728" s="74"/>
      <c r="Y728" s="74"/>
    </row>
    <row r="729" ht="14.25" customHeight="1">
      <c r="A729" s="74"/>
      <c r="B729" s="74"/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  <c r="U729" s="74"/>
      <c r="V729" s="74"/>
      <c r="W729" s="74"/>
      <c r="X729" s="74"/>
      <c r="Y729" s="74"/>
    </row>
    <row r="730" ht="14.25" customHeight="1">
      <c r="A730" s="74"/>
      <c r="B730" s="74"/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  <c r="U730" s="74"/>
      <c r="V730" s="74"/>
      <c r="W730" s="74"/>
      <c r="X730" s="74"/>
      <c r="Y730" s="74"/>
    </row>
    <row r="731" ht="14.25" customHeight="1">
      <c r="A731" s="74"/>
      <c r="B731" s="74"/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  <c r="U731" s="74"/>
      <c r="V731" s="74"/>
      <c r="W731" s="74"/>
      <c r="X731" s="74"/>
      <c r="Y731" s="74"/>
    </row>
    <row r="732" ht="14.25" customHeight="1">
      <c r="A732" s="74"/>
      <c r="B732" s="74"/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  <c r="U732" s="74"/>
      <c r="V732" s="74"/>
      <c r="W732" s="74"/>
      <c r="X732" s="74"/>
      <c r="Y732" s="74"/>
    </row>
    <row r="733" ht="14.25" customHeight="1">
      <c r="A733" s="74"/>
      <c r="B733" s="74"/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  <c r="U733" s="74"/>
      <c r="V733" s="74"/>
      <c r="W733" s="74"/>
      <c r="X733" s="74"/>
      <c r="Y733" s="74"/>
    </row>
    <row r="734" ht="14.25" customHeight="1">
      <c r="A734" s="74"/>
      <c r="B734" s="74"/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  <c r="U734" s="74"/>
      <c r="V734" s="74"/>
      <c r="W734" s="74"/>
      <c r="X734" s="74"/>
      <c r="Y734" s="74"/>
    </row>
    <row r="735" ht="14.25" customHeight="1">
      <c r="A735" s="74"/>
      <c r="B735" s="74"/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  <c r="U735" s="74"/>
      <c r="V735" s="74"/>
      <c r="W735" s="74"/>
      <c r="X735" s="74"/>
      <c r="Y735" s="74"/>
    </row>
    <row r="736" ht="14.25" customHeight="1">
      <c r="A736" s="74"/>
      <c r="B736" s="74"/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  <c r="Q736" s="74"/>
      <c r="R736" s="74"/>
      <c r="S736" s="74"/>
      <c r="T736" s="74"/>
      <c r="U736" s="74"/>
      <c r="V736" s="74"/>
      <c r="W736" s="74"/>
      <c r="X736" s="74"/>
      <c r="Y736" s="74"/>
    </row>
    <row r="737" ht="14.25" customHeight="1">
      <c r="A737" s="74"/>
      <c r="B737" s="74"/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</row>
    <row r="738" ht="14.25" customHeight="1">
      <c r="A738" s="74"/>
      <c r="B738" s="74"/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</row>
    <row r="739" ht="14.25" customHeight="1">
      <c r="A739" s="74"/>
      <c r="B739" s="74"/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  <c r="Q739" s="74"/>
      <c r="R739" s="74"/>
      <c r="S739" s="74"/>
      <c r="T739" s="74"/>
      <c r="U739" s="74"/>
      <c r="V739" s="74"/>
      <c r="W739" s="74"/>
      <c r="X739" s="74"/>
      <c r="Y739" s="74"/>
    </row>
    <row r="740" ht="14.25" customHeight="1">
      <c r="A740" s="74"/>
      <c r="B740" s="74"/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  <c r="Q740" s="74"/>
      <c r="R740" s="74"/>
      <c r="S740" s="74"/>
      <c r="T740" s="74"/>
      <c r="U740" s="74"/>
      <c r="V740" s="74"/>
      <c r="W740" s="74"/>
      <c r="X740" s="74"/>
      <c r="Y740" s="74"/>
    </row>
    <row r="741" ht="14.25" customHeight="1">
      <c r="A741" s="74"/>
      <c r="B741" s="74"/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  <c r="Q741" s="74"/>
      <c r="R741" s="74"/>
      <c r="S741" s="74"/>
      <c r="T741" s="74"/>
      <c r="U741" s="74"/>
      <c r="V741" s="74"/>
      <c r="W741" s="74"/>
      <c r="X741" s="74"/>
      <c r="Y741" s="74"/>
    </row>
    <row r="742" ht="14.25" customHeight="1">
      <c r="A742" s="74"/>
      <c r="B742" s="74"/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  <c r="Q742" s="74"/>
      <c r="R742" s="74"/>
      <c r="S742" s="74"/>
      <c r="T742" s="74"/>
      <c r="U742" s="74"/>
      <c r="V742" s="74"/>
      <c r="W742" s="74"/>
      <c r="X742" s="74"/>
      <c r="Y742" s="74"/>
    </row>
    <row r="743" ht="14.25" customHeight="1">
      <c r="A743" s="74"/>
      <c r="B743" s="74"/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  <c r="Q743" s="74"/>
      <c r="R743" s="74"/>
      <c r="S743" s="74"/>
      <c r="T743" s="74"/>
      <c r="U743" s="74"/>
      <c r="V743" s="74"/>
      <c r="W743" s="74"/>
      <c r="X743" s="74"/>
      <c r="Y743" s="74"/>
    </row>
    <row r="744" ht="14.25" customHeight="1">
      <c r="A744" s="74"/>
      <c r="B744" s="74"/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  <c r="Q744" s="74"/>
      <c r="R744" s="74"/>
      <c r="S744" s="74"/>
      <c r="T744" s="74"/>
      <c r="U744" s="74"/>
      <c r="V744" s="74"/>
      <c r="W744" s="74"/>
      <c r="X744" s="74"/>
      <c r="Y744" s="74"/>
    </row>
    <row r="745" ht="14.25" customHeight="1">
      <c r="A745" s="74"/>
      <c r="B745" s="74"/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  <c r="Q745" s="74"/>
      <c r="R745" s="74"/>
      <c r="S745" s="74"/>
      <c r="T745" s="74"/>
      <c r="U745" s="74"/>
      <c r="V745" s="74"/>
      <c r="W745" s="74"/>
      <c r="X745" s="74"/>
      <c r="Y745" s="74"/>
    </row>
    <row r="746" ht="14.25" customHeight="1">
      <c r="A746" s="74"/>
      <c r="B746" s="74"/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  <c r="Q746" s="74"/>
      <c r="R746" s="74"/>
      <c r="S746" s="74"/>
      <c r="T746" s="74"/>
      <c r="U746" s="74"/>
      <c r="V746" s="74"/>
      <c r="W746" s="74"/>
      <c r="X746" s="74"/>
      <c r="Y746" s="74"/>
    </row>
    <row r="747" ht="14.25" customHeight="1">
      <c r="A747" s="74"/>
      <c r="B747" s="74"/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  <c r="Q747" s="74"/>
      <c r="R747" s="74"/>
      <c r="S747" s="74"/>
      <c r="T747" s="74"/>
      <c r="U747" s="74"/>
      <c r="V747" s="74"/>
      <c r="W747" s="74"/>
      <c r="X747" s="74"/>
      <c r="Y747" s="74"/>
    </row>
    <row r="748" ht="14.25" customHeight="1">
      <c r="A748" s="74"/>
      <c r="B748" s="74"/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  <c r="Q748" s="74"/>
      <c r="R748" s="74"/>
      <c r="S748" s="74"/>
      <c r="T748" s="74"/>
      <c r="U748" s="74"/>
      <c r="V748" s="74"/>
      <c r="W748" s="74"/>
      <c r="X748" s="74"/>
      <c r="Y748" s="74"/>
    </row>
    <row r="749" ht="14.25" customHeight="1">
      <c r="A749" s="74"/>
      <c r="B749" s="74"/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  <c r="Q749" s="74"/>
      <c r="R749" s="74"/>
      <c r="S749" s="74"/>
      <c r="T749" s="74"/>
      <c r="U749" s="74"/>
      <c r="V749" s="74"/>
      <c r="W749" s="74"/>
      <c r="X749" s="74"/>
      <c r="Y749" s="74"/>
    </row>
    <row r="750" ht="14.25" customHeight="1">
      <c r="A750" s="74"/>
      <c r="B750" s="74"/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  <c r="Q750" s="74"/>
      <c r="R750" s="74"/>
      <c r="S750" s="74"/>
      <c r="T750" s="74"/>
      <c r="U750" s="74"/>
      <c r="V750" s="74"/>
      <c r="W750" s="74"/>
      <c r="X750" s="74"/>
      <c r="Y750" s="74"/>
    </row>
    <row r="751" ht="14.25" customHeight="1">
      <c r="A751" s="74"/>
      <c r="B751" s="74"/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  <c r="Q751" s="74"/>
      <c r="R751" s="74"/>
      <c r="S751" s="74"/>
      <c r="T751" s="74"/>
      <c r="U751" s="74"/>
      <c r="V751" s="74"/>
      <c r="W751" s="74"/>
      <c r="X751" s="74"/>
      <c r="Y751" s="74"/>
    </row>
    <row r="752" ht="14.25" customHeight="1">
      <c r="A752" s="74"/>
      <c r="B752" s="74"/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  <c r="Q752" s="74"/>
      <c r="R752" s="74"/>
      <c r="S752" s="74"/>
      <c r="T752" s="74"/>
      <c r="U752" s="74"/>
      <c r="V752" s="74"/>
      <c r="W752" s="74"/>
      <c r="X752" s="74"/>
      <c r="Y752" s="74"/>
    </row>
    <row r="753" ht="14.25" customHeight="1">
      <c r="A753" s="74"/>
      <c r="B753" s="74"/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  <c r="Q753" s="74"/>
      <c r="R753" s="74"/>
      <c r="S753" s="74"/>
      <c r="T753" s="74"/>
      <c r="U753" s="74"/>
      <c r="V753" s="74"/>
      <c r="W753" s="74"/>
      <c r="X753" s="74"/>
      <c r="Y753" s="74"/>
    </row>
    <row r="754" ht="14.25" customHeight="1">
      <c r="A754" s="74"/>
      <c r="B754" s="74"/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  <c r="Q754" s="74"/>
      <c r="R754" s="74"/>
      <c r="S754" s="74"/>
      <c r="T754" s="74"/>
      <c r="U754" s="74"/>
      <c r="V754" s="74"/>
      <c r="W754" s="74"/>
      <c r="X754" s="74"/>
      <c r="Y754" s="74"/>
    </row>
    <row r="755" ht="14.25" customHeight="1">
      <c r="A755" s="74"/>
      <c r="B755" s="74"/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  <c r="Q755" s="74"/>
      <c r="R755" s="74"/>
      <c r="S755" s="74"/>
      <c r="T755" s="74"/>
      <c r="U755" s="74"/>
      <c r="V755" s="74"/>
      <c r="W755" s="74"/>
      <c r="X755" s="74"/>
      <c r="Y755" s="74"/>
    </row>
    <row r="756" ht="14.25" customHeight="1">
      <c r="A756" s="74"/>
      <c r="B756" s="74"/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  <c r="Q756" s="74"/>
      <c r="R756" s="74"/>
      <c r="S756" s="74"/>
      <c r="T756" s="74"/>
      <c r="U756" s="74"/>
      <c r="V756" s="74"/>
      <c r="W756" s="74"/>
      <c r="X756" s="74"/>
      <c r="Y756" s="74"/>
    </row>
    <row r="757" ht="14.25" customHeight="1">
      <c r="A757" s="74"/>
      <c r="B757" s="74"/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  <c r="Q757" s="74"/>
      <c r="R757" s="74"/>
      <c r="S757" s="74"/>
      <c r="T757" s="74"/>
      <c r="U757" s="74"/>
      <c r="V757" s="74"/>
      <c r="W757" s="74"/>
      <c r="X757" s="74"/>
      <c r="Y757" s="74"/>
    </row>
    <row r="758" ht="14.25" customHeight="1">
      <c r="A758" s="74"/>
      <c r="B758" s="74"/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  <c r="Q758" s="74"/>
      <c r="R758" s="74"/>
      <c r="S758" s="74"/>
      <c r="T758" s="74"/>
      <c r="U758" s="74"/>
      <c r="V758" s="74"/>
      <c r="W758" s="74"/>
      <c r="X758" s="74"/>
      <c r="Y758" s="74"/>
    </row>
    <row r="759" ht="14.25" customHeight="1">
      <c r="A759" s="74"/>
      <c r="B759" s="74"/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  <c r="Q759" s="74"/>
      <c r="R759" s="74"/>
      <c r="S759" s="74"/>
      <c r="T759" s="74"/>
      <c r="U759" s="74"/>
      <c r="V759" s="74"/>
      <c r="W759" s="74"/>
      <c r="X759" s="74"/>
      <c r="Y759" s="74"/>
    </row>
    <row r="760" ht="14.25" customHeight="1">
      <c r="A760" s="74"/>
      <c r="B760" s="74"/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  <c r="Q760" s="74"/>
      <c r="R760" s="74"/>
      <c r="S760" s="74"/>
      <c r="T760" s="74"/>
      <c r="U760" s="74"/>
      <c r="V760" s="74"/>
      <c r="W760" s="74"/>
      <c r="X760" s="74"/>
      <c r="Y760" s="74"/>
    </row>
    <row r="761" ht="14.25" customHeight="1">
      <c r="A761" s="74"/>
      <c r="B761" s="74"/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  <c r="Q761" s="74"/>
      <c r="R761" s="74"/>
      <c r="S761" s="74"/>
      <c r="T761" s="74"/>
      <c r="U761" s="74"/>
      <c r="V761" s="74"/>
      <c r="W761" s="74"/>
      <c r="X761" s="74"/>
      <c r="Y761" s="74"/>
    </row>
    <row r="762" ht="14.25" customHeight="1">
      <c r="A762" s="74"/>
      <c r="B762" s="74"/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  <c r="Q762" s="74"/>
      <c r="R762" s="74"/>
      <c r="S762" s="74"/>
      <c r="T762" s="74"/>
      <c r="U762" s="74"/>
      <c r="V762" s="74"/>
      <c r="W762" s="74"/>
      <c r="X762" s="74"/>
      <c r="Y762" s="74"/>
    </row>
    <row r="763" ht="14.25" customHeight="1">
      <c r="A763" s="74"/>
      <c r="B763" s="74"/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  <c r="Q763" s="74"/>
      <c r="R763" s="74"/>
      <c r="S763" s="74"/>
      <c r="T763" s="74"/>
      <c r="U763" s="74"/>
      <c r="V763" s="74"/>
      <c r="W763" s="74"/>
      <c r="X763" s="74"/>
      <c r="Y763" s="74"/>
    </row>
    <row r="764" ht="14.25" customHeight="1">
      <c r="A764" s="74"/>
      <c r="B764" s="74"/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  <c r="Q764" s="74"/>
      <c r="R764" s="74"/>
      <c r="S764" s="74"/>
      <c r="T764" s="74"/>
      <c r="U764" s="74"/>
      <c r="V764" s="74"/>
      <c r="W764" s="74"/>
      <c r="X764" s="74"/>
      <c r="Y764" s="74"/>
    </row>
    <row r="765" ht="14.25" customHeight="1">
      <c r="A765" s="74"/>
      <c r="B765" s="74"/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  <c r="Q765" s="74"/>
      <c r="R765" s="74"/>
      <c r="S765" s="74"/>
      <c r="T765" s="74"/>
      <c r="U765" s="74"/>
      <c r="V765" s="74"/>
      <c r="W765" s="74"/>
      <c r="X765" s="74"/>
      <c r="Y765" s="74"/>
    </row>
    <row r="766" ht="14.25" customHeight="1">
      <c r="A766" s="74"/>
      <c r="B766" s="74"/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  <c r="Q766" s="74"/>
      <c r="R766" s="74"/>
      <c r="S766" s="74"/>
      <c r="T766" s="74"/>
      <c r="U766" s="74"/>
      <c r="V766" s="74"/>
      <c r="W766" s="74"/>
      <c r="X766" s="74"/>
      <c r="Y766" s="74"/>
    </row>
    <row r="767" ht="14.25" customHeight="1">
      <c r="A767" s="74"/>
      <c r="B767" s="74"/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  <c r="Q767" s="74"/>
      <c r="R767" s="74"/>
      <c r="S767" s="74"/>
      <c r="T767" s="74"/>
      <c r="U767" s="74"/>
      <c r="V767" s="74"/>
      <c r="W767" s="74"/>
      <c r="X767" s="74"/>
      <c r="Y767" s="74"/>
    </row>
    <row r="768" ht="14.25" customHeight="1">
      <c r="A768" s="74"/>
      <c r="B768" s="74"/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  <c r="Q768" s="74"/>
      <c r="R768" s="74"/>
      <c r="S768" s="74"/>
      <c r="T768" s="74"/>
      <c r="U768" s="74"/>
      <c r="V768" s="74"/>
      <c r="W768" s="74"/>
      <c r="X768" s="74"/>
      <c r="Y768" s="74"/>
    </row>
    <row r="769" ht="14.25" customHeight="1">
      <c r="A769" s="74"/>
      <c r="B769" s="74"/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  <c r="Q769" s="74"/>
      <c r="R769" s="74"/>
      <c r="S769" s="74"/>
      <c r="T769" s="74"/>
      <c r="U769" s="74"/>
      <c r="V769" s="74"/>
      <c r="W769" s="74"/>
      <c r="X769" s="74"/>
      <c r="Y769" s="74"/>
    </row>
    <row r="770" ht="14.25" customHeight="1">
      <c r="A770" s="74"/>
      <c r="B770" s="74"/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  <c r="Q770" s="74"/>
      <c r="R770" s="74"/>
      <c r="S770" s="74"/>
      <c r="T770" s="74"/>
      <c r="U770" s="74"/>
      <c r="V770" s="74"/>
      <c r="W770" s="74"/>
      <c r="X770" s="74"/>
      <c r="Y770" s="74"/>
    </row>
    <row r="771" ht="14.25" customHeight="1">
      <c r="A771" s="74"/>
      <c r="B771" s="74"/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  <c r="Q771" s="74"/>
      <c r="R771" s="74"/>
      <c r="S771" s="74"/>
      <c r="T771" s="74"/>
      <c r="U771" s="74"/>
      <c r="V771" s="74"/>
      <c r="W771" s="74"/>
      <c r="X771" s="74"/>
      <c r="Y771" s="74"/>
    </row>
    <row r="772" ht="14.25" customHeight="1">
      <c r="A772" s="74"/>
      <c r="B772" s="74"/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  <c r="Q772" s="74"/>
      <c r="R772" s="74"/>
      <c r="S772" s="74"/>
      <c r="T772" s="74"/>
      <c r="U772" s="74"/>
      <c r="V772" s="74"/>
      <c r="W772" s="74"/>
      <c r="X772" s="74"/>
      <c r="Y772" s="74"/>
    </row>
    <row r="773" ht="14.25" customHeight="1">
      <c r="A773" s="74"/>
      <c r="B773" s="74"/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  <c r="Q773" s="74"/>
      <c r="R773" s="74"/>
      <c r="S773" s="74"/>
      <c r="T773" s="74"/>
      <c r="U773" s="74"/>
      <c r="V773" s="74"/>
      <c r="W773" s="74"/>
      <c r="X773" s="74"/>
      <c r="Y773" s="74"/>
    </row>
    <row r="774" ht="14.25" customHeight="1">
      <c r="A774" s="74"/>
      <c r="B774" s="74"/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  <c r="Q774" s="74"/>
      <c r="R774" s="74"/>
      <c r="S774" s="74"/>
      <c r="T774" s="74"/>
      <c r="U774" s="74"/>
      <c r="V774" s="74"/>
      <c r="W774" s="74"/>
      <c r="X774" s="74"/>
      <c r="Y774" s="74"/>
    </row>
    <row r="775" ht="14.25" customHeight="1">
      <c r="A775" s="74"/>
      <c r="B775" s="74"/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  <c r="Q775" s="74"/>
      <c r="R775" s="74"/>
      <c r="S775" s="74"/>
      <c r="T775" s="74"/>
      <c r="U775" s="74"/>
      <c r="V775" s="74"/>
      <c r="W775" s="74"/>
      <c r="X775" s="74"/>
      <c r="Y775" s="74"/>
    </row>
    <row r="776" ht="14.25" customHeight="1">
      <c r="A776" s="74"/>
      <c r="B776" s="74"/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  <c r="Q776" s="74"/>
      <c r="R776" s="74"/>
      <c r="S776" s="74"/>
      <c r="T776" s="74"/>
      <c r="U776" s="74"/>
      <c r="V776" s="74"/>
      <c r="W776" s="74"/>
      <c r="X776" s="74"/>
      <c r="Y776" s="74"/>
    </row>
    <row r="777" ht="14.25" customHeight="1">
      <c r="A777" s="74"/>
      <c r="B777" s="74"/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  <c r="Q777" s="74"/>
      <c r="R777" s="74"/>
      <c r="S777" s="74"/>
      <c r="T777" s="74"/>
      <c r="U777" s="74"/>
      <c r="V777" s="74"/>
      <c r="W777" s="74"/>
      <c r="X777" s="74"/>
      <c r="Y777" s="74"/>
    </row>
    <row r="778" ht="14.25" customHeight="1">
      <c r="A778" s="74"/>
      <c r="B778" s="74"/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  <c r="Q778" s="74"/>
      <c r="R778" s="74"/>
      <c r="S778" s="74"/>
      <c r="T778" s="74"/>
      <c r="U778" s="74"/>
      <c r="V778" s="74"/>
      <c r="W778" s="74"/>
      <c r="X778" s="74"/>
      <c r="Y778" s="74"/>
    </row>
    <row r="779" ht="14.25" customHeight="1">
      <c r="A779" s="74"/>
      <c r="B779" s="74"/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  <c r="Q779" s="74"/>
      <c r="R779" s="74"/>
      <c r="S779" s="74"/>
      <c r="T779" s="74"/>
      <c r="U779" s="74"/>
      <c r="V779" s="74"/>
      <c r="W779" s="74"/>
      <c r="X779" s="74"/>
      <c r="Y779" s="74"/>
    </row>
    <row r="780" ht="14.25" customHeight="1">
      <c r="A780" s="74"/>
      <c r="B780" s="74"/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  <c r="Q780" s="74"/>
      <c r="R780" s="74"/>
      <c r="S780" s="74"/>
      <c r="T780" s="74"/>
      <c r="U780" s="74"/>
      <c r="V780" s="74"/>
      <c r="W780" s="74"/>
      <c r="X780" s="74"/>
      <c r="Y780" s="74"/>
    </row>
    <row r="781" ht="14.25" customHeight="1">
      <c r="A781" s="74"/>
      <c r="B781" s="74"/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  <c r="Q781" s="74"/>
      <c r="R781" s="74"/>
      <c r="S781" s="74"/>
      <c r="T781" s="74"/>
      <c r="U781" s="74"/>
      <c r="V781" s="74"/>
      <c r="W781" s="74"/>
      <c r="X781" s="74"/>
      <c r="Y781" s="74"/>
    </row>
    <row r="782" ht="14.25" customHeight="1">
      <c r="A782" s="74"/>
      <c r="B782" s="74"/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  <c r="Q782" s="74"/>
      <c r="R782" s="74"/>
      <c r="S782" s="74"/>
      <c r="T782" s="74"/>
      <c r="U782" s="74"/>
      <c r="V782" s="74"/>
      <c r="W782" s="74"/>
      <c r="X782" s="74"/>
      <c r="Y782" s="74"/>
    </row>
    <row r="783" ht="14.25" customHeight="1">
      <c r="A783" s="74"/>
      <c r="B783" s="74"/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  <c r="Q783" s="74"/>
      <c r="R783" s="74"/>
      <c r="S783" s="74"/>
      <c r="T783" s="74"/>
      <c r="U783" s="74"/>
      <c r="V783" s="74"/>
      <c r="W783" s="74"/>
      <c r="X783" s="74"/>
      <c r="Y783" s="74"/>
    </row>
    <row r="784" ht="14.25" customHeight="1">
      <c r="A784" s="74"/>
      <c r="B784" s="74"/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  <c r="Q784" s="74"/>
      <c r="R784" s="74"/>
      <c r="S784" s="74"/>
      <c r="T784" s="74"/>
      <c r="U784" s="74"/>
      <c r="V784" s="74"/>
      <c r="W784" s="74"/>
      <c r="X784" s="74"/>
      <c r="Y784" s="74"/>
    </row>
    <row r="785" ht="14.25" customHeight="1">
      <c r="A785" s="74"/>
      <c r="B785" s="74"/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  <c r="Q785" s="74"/>
      <c r="R785" s="74"/>
      <c r="S785" s="74"/>
      <c r="T785" s="74"/>
      <c r="U785" s="74"/>
      <c r="V785" s="74"/>
      <c r="W785" s="74"/>
      <c r="X785" s="74"/>
      <c r="Y785" s="74"/>
    </row>
    <row r="786" ht="14.25" customHeight="1">
      <c r="A786" s="74"/>
      <c r="B786" s="74"/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  <c r="Q786" s="74"/>
      <c r="R786" s="74"/>
      <c r="S786" s="74"/>
      <c r="T786" s="74"/>
      <c r="U786" s="74"/>
      <c r="V786" s="74"/>
      <c r="W786" s="74"/>
      <c r="X786" s="74"/>
      <c r="Y786" s="74"/>
    </row>
    <row r="787" ht="14.25" customHeight="1">
      <c r="A787" s="74"/>
      <c r="B787" s="74"/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  <c r="Q787" s="74"/>
      <c r="R787" s="74"/>
      <c r="S787" s="74"/>
      <c r="T787" s="74"/>
      <c r="U787" s="74"/>
      <c r="V787" s="74"/>
      <c r="W787" s="74"/>
      <c r="X787" s="74"/>
      <c r="Y787" s="74"/>
    </row>
    <row r="788" ht="14.25" customHeight="1">
      <c r="A788" s="74"/>
      <c r="B788" s="74"/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  <c r="Q788" s="74"/>
      <c r="R788" s="74"/>
      <c r="S788" s="74"/>
      <c r="T788" s="74"/>
      <c r="U788" s="74"/>
      <c r="V788" s="74"/>
      <c r="W788" s="74"/>
      <c r="X788" s="74"/>
      <c r="Y788" s="74"/>
    </row>
    <row r="789" ht="14.25" customHeight="1">
      <c r="A789" s="74"/>
      <c r="B789" s="74"/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  <c r="Q789" s="74"/>
      <c r="R789" s="74"/>
      <c r="S789" s="74"/>
      <c r="T789" s="74"/>
      <c r="U789" s="74"/>
      <c r="V789" s="74"/>
      <c r="W789" s="74"/>
      <c r="X789" s="74"/>
      <c r="Y789" s="74"/>
    </row>
    <row r="790" ht="14.25" customHeight="1">
      <c r="A790" s="74"/>
      <c r="B790" s="74"/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  <c r="Q790" s="74"/>
      <c r="R790" s="74"/>
      <c r="S790" s="74"/>
      <c r="T790" s="74"/>
      <c r="U790" s="74"/>
      <c r="V790" s="74"/>
      <c r="W790" s="74"/>
      <c r="X790" s="74"/>
      <c r="Y790" s="74"/>
    </row>
    <row r="791" ht="14.25" customHeight="1">
      <c r="A791" s="74"/>
      <c r="B791" s="74"/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  <c r="Q791" s="74"/>
      <c r="R791" s="74"/>
      <c r="S791" s="74"/>
      <c r="T791" s="74"/>
      <c r="U791" s="74"/>
      <c r="V791" s="74"/>
      <c r="W791" s="74"/>
      <c r="X791" s="74"/>
      <c r="Y791" s="74"/>
    </row>
    <row r="792" ht="14.25" customHeight="1">
      <c r="A792" s="74"/>
      <c r="B792" s="74"/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  <c r="Q792" s="74"/>
      <c r="R792" s="74"/>
      <c r="S792" s="74"/>
      <c r="T792" s="74"/>
      <c r="U792" s="74"/>
      <c r="V792" s="74"/>
      <c r="W792" s="74"/>
      <c r="X792" s="74"/>
      <c r="Y792" s="74"/>
    </row>
    <row r="793" ht="14.25" customHeight="1">
      <c r="A793" s="74"/>
      <c r="B793" s="74"/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  <c r="Q793" s="74"/>
      <c r="R793" s="74"/>
      <c r="S793" s="74"/>
      <c r="T793" s="74"/>
      <c r="U793" s="74"/>
      <c r="V793" s="74"/>
      <c r="W793" s="74"/>
      <c r="X793" s="74"/>
      <c r="Y793" s="74"/>
    </row>
    <row r="794" ht="14.25" customHeight="1">
      <c r="A794" s="74"/>
      <c r="B794" s="74"/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  <c r="Q794" s="74"/>
      <c r="R794" s="74"/>
      <c r="S794" s="74"/>
      <c r="T794" s="74"/>
      <c r="U794" s="74"/>
      <c r="V794" s="74"/>
      <c r="W794" s="74"/>
      <c r="X794" s="74"/>
      <c r="Y794" s="74"/>
    </row>
    <row r="795" ht="14.25" customHeight="1">
      <c r="A795" s="74"/>
      <c r="B795" s="74"/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  <c r="Q795" s="74"/>
      <c r="R795" s="74"/>
      <c r="S795" s="74"/>
      <c r="T795" s="74"/>
      <c r="U795" s="74"/>
      <c r="V795" s="74"/>
      <c r="W795" s="74"/>
      <c r="X795" s="74"/>
      <c r="Y795" s="74"/>
    </row>
    <row r="796" ht="14.25" customHeight="1">
      <c r="A796" s="74"/>
      <c r="B796" s="74"/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  <c r="Q796" s="74"/>
      <c r="R796" s="74"/>
      <c r="S796" s="74"/>
      <c r="T796" s="74"/>
      <c r="U796" s="74"/>
      <c r="V796" s="74"/>
      <c r="W796" s="74"/>
      <c r="X796" s="74"/>
      <c r="Y796" s="74"/>
    </row>
    <row r="797" ht="14.25" customHeight="1">
      <c r="A797" s="74"/>
      <c r="B797" s="74"/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  <c r="Q797" s="74"/>
      <c r="R797" s="74"/>
      <c r="S797" s="74"/>
      <c r="T797" s="74"/>
      <c r="U797" s="74"/>
      <c r="V797" s="74"/>
      <c r="W797" s="74"/>
      <c r="X797" s="74"/>
      <c r="Y797" s="74"/>
    </row>
    <row r="798" ht="14.25" customHeight="1">
      <c r="A798" s="74"/>
      <c r="B798" s="74"/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  <c r="Q798" s="74"/>
      <c r="R798" s="74"/>
      <c r="S798" s="74"/>
      <c r="T798" s="74"/>
      <c r="U798" s="74"/>
      <c r="V798" s="74"/>
      <c r="W798" s="74"/>
      <c r="X798" s="74"/>
      <c r="Y798" s="74"/>
    </row>
    <row r="799" ht="14.25" customHeight="1">
      <c r="A799" s="74"/>
      <c r="B799" s="74"/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  <c r="Q799" s="74"/>
      <c r="R799" s="74"/>
      <c r="S799" s="74"/>
      <c r="T799" s="74"/>
      <c r="U799" s="74"/>
      <c r="V799" s="74"/>
      <c r="W799" s="74"/>
      <c r="X799" s="74"/>
      <c r="Y799" s="74"/>
    </row>
    <row r="800" ht="14.25" customHeight="1">
      <c r="A800" s="74"/>
      <c r="B800" s="74"/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  <c r="Q800" s="74"/>
      <c r="R800" s="74"/>
      <c r="S800" s="74"/>
      <c r="T800" s="74"/>
      <c r="U800" s="74"/>
      <c r="V800" s="74"/>
      <c r="W800" s="74"/>
      <c r="X800" s="74"/>
      <c r="Y800" s="74"/>
    </row>
    <row r="801" ht="14.25" customHeight="1">
      <c r="A801" s="74"/>
      <c r="B801" s="74"/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  <c r="Q801" s="74"/>
      <c r="R801" s="74"/>
      <c r="S801" s="74"/>
      <c r="T801" s="74"/>
      <c r="U801" s="74"/>
      <c r="V801" s="74"/>
      <c r="W801" s="74"/>
      <c r="X801" s="74"/>
      <c r="Y801" s="74"/>
    </row>
    <row r="802" ht="14.25" customHeight="1">
      <c r="A802" s="74"/>
      <c r="B802" s="74"/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  <c r="Q802" s="74"/>
      <c r="R802" s="74"/>
      <c r="S802" s="74"/>
      <c r="T802" s="74"/>
      <c r="U802" s="74"/>
      <c r="V802" s="74"/>
      <c r="W802" s="74"/>
      <c r="X802" s="74"/>
      <c r="Y802" s="74"/>
    </row>
    <row r="803" ht="14.25" customHeight="1">
      <c r="A803" s="74"/>
      <c r="B803" s="74"/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  <c r="Q803" s="74"/>
      <c r="R803" s="74"/>
      <c r="S803" s="74"/>
      <c r="T803" s="74"/>
      <c r="U803" s="74"/>
      <c r="V803" s="74"/>
      <c r="W803" s="74"/>
      <c r="X803" s="74"/>
      <c r="Y803" s="74"/>
    </row>
    <row r="804" ht="14.25" customHeight="1">
      <c r="A804" s="74"/>
      <c r="B804" s="74"/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  <c r="Q804" s="74"/>
      <c r="R804" s="74"/>
      <c r="S804" s="74"/>
      <c r="T804" s="74"/>
      <c r="U804" s="74"/>
      <c r="V804" s="74"/>
      <c r="W804" s="74"/>
      <c r="X804" s="74"/>
      <c r="Y804" s="74"/>
    </row>
    <row r="805" ht="14.25" customHeight="1">
      <c r="A805" s="74"/>
      <c r="B805" s="74"/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  <c r="Q805" s="74"/>
      <c r="R805" s="74"/>
      <c r="S805" s="74"/>
      <c r="T805" s="74"/>
      <c r="U805" s="74"/>
      <c r="V805" s="74"/>
      <c r="W805" s="74"/>
      <c r="X805" s="74"/>
      <c r="Y805" s="74"/>
    </row>
    <row r="806" ht="14.25" customHeight="1">
      <c r="A806" s="74"/>
      <c r="B806" s="74"/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  <c r="Q806" s="74"/>
      <c r="R806" s="74"/>
      <c r="S806" s="74"/>
      <c r="T806" s="74"/>
      <c r="U806" s="74"/>
      <c r="V806" s="74"/>
      <c r="W806" s="74"/>
      <c r="X806" s="74"/>
      <c r="Y806" s="74"/>
    </row>
    <row r="807" ht="14.25" customHeight="1">
      <c r="A807" s="74"/>
      <c r="B807" s="74"/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  <c r="Q807" s="74"/>
      <c r="R807" s="74"/>
      <c r="S807" s="74"/>
      <c r="T807" s="74"/>
      <c r="U807" s="74"/>
      <c r="V807" s="74"/>
      <c r="W807" s="74"/>
      <c r="X807" s="74"/>
      <c r="Y807" s="74"/>
    </row>
    <row r="808" ht="14.25" customHeight="1">
      <c r="A808" s="74"/>
      <c r="B808" s="74"/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  <c r="Q808" s="74"/>
      <c r="R808" s="74"/>
      <c r="S808" s="74"/>
      <c r="T808" s="74"/>
      <c r="U808" s="74"/>
      <c r="V808" s="74"/>
      <c r="W808" s="74"/>
      <c r="X808" s="74"/>
      <c r="Y808" s="74"/>
    </row>
    <row r="809" ht="14.25" customHeight="1">
      <c r="A809" s="74"/>
      <c r="B809" s="74"/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  <c r="Q809" s="74"/>
      <c r="R809" s="74"/>
      <c r="S809" s="74"/>
      <c r="T809" s="74"/>
      <c r="U809" s="74"/>
      <c r="V809" s="74"/>
      <c r="W809" s="74"/>
      <c r="X809" s="74"/>
      <c r="Y809" s="74"/>
    </row>
    <row r="810" ht="14.25" customHeight="1">
      <c r="A810" s="74"/>
      <c r="B810" s="74"/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  <c r="Q810" s="74"/>
      <c r="R810" s="74"/>
      <c r="S810" s="74"/>
      <c r="T810" s="74"/>
      <c r="U810" s="74"/>
      <c r="V810" s="74"/>
      <c r="W810" s="74"/>
      <c r="X810" s="74"/>
      <c r="Y810" s="74"/>
    </row>
    <row r="811" ht="14.25" customHeight="1">
      <c r="A811" s="74"/>
      <c r="B811" s="74"/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  <c r="Q811" s="74"/>
      <c r="R811" s="74"/>
      <c r="S811" s="74"/>
      <c r="T811" s="74"/>
      <c r="U811" s="74"/>
      <c r="V811" s="74"/>
      <c r="W811" s="74"/>
      <c r="X811" s="74"/>
      <c r="Y811" s="74"/>
    </row>
    <row r="812" ht="14.25" customHeight="1">
      <c r="A812" s="74"/>
      <c r="B812" s="74"/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  <c r="Q812" s="74"/>
      <c r="R812" s="74"/>
      <c r="S812" s="74"/>
      <c r="T812" s="74"/>
      <c r="U812" s="74"/>
      <c r="V812" s="74"/>
      <c r="W812" s="74"/>
      <c r="X812" s="74"/>
      <c r="Y812" s="74"/>
    </row>
    <row r="813" ht="14.25" customHeight="1">
      <c r="A813" s="74"/>
      <c r="B813" s="74"/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  <c r="Q813" s="74"/>
      <c r="R813" s="74"/>
      <c r="S813" s="74"/>
      <c r="T813" s="74"/>
      <c r="U813" s="74"/>
      <c r="V813" s="74"/>
      <c r="W813" s="74"/>
      <c r="X813" s="74"/>
      <c r="Y813" s="74"/>
    </row>
    <row r="814" ht="14.25" customHeight="1">
      <c r="A814" s="74"/>
      <c r="B814" s="74"/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  <c r="Q814" s="74"/>
      <c r="R814" s="74"/>
      <c r="S814" s="74"/>
      <c r="T814" s="74"/>
      <c r="U814" s="74"/>
      <c r="V814" s="74"/>
      <c r="W814" s="74"/>
      <c r="X814" s="74"/>
      <c r="Y814" s="74"/>
    </row>
    <row r="815" ht="14.25" customHeight="1">
      <c r="A815" s="74"/>
      <c r="B815" s="74"/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  <c r="Q815" s="74"/>
      <c r="R815" s="74"/>
      <c r="S815" s="74"/>
      <c r="T815" s="74"/>
      <c r="U815" s="74"/>
      <c r="V815" s="74"/>
      <c r="W815" s="74"/>
      <c r="X815" s="74"/>
      <c r="Y815" s="74"/>
    </row>
    <row r="816" ht="14.25" customHeight="1">
      <c r="A816" s="74"/>
      <c r="B816" s="74"/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  <c r="Q816" s="74"/>
      <c r="R816" s="74"/>
      <c r="S816" s="74"/>
      <c r="T816" s="74"/>
      <c r="U816" s="74"/>
      <c r="V816" s="74"/>
      <c r="W816" s="74"/>
      <c r="X816" s="74"/>
      <c r="Y816" s="74"/>
    </row>
    <row r="817" ht="14.25" customHeight="1">
      <c r="A817" s="74"/>
      <c r="B817" s="74"/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  <c r="Q817" s="74"/>
      <c r="R817" s="74"/>
      <c r="S817" s="74"/>
      <c r="T817" s="74"/>
      <c r="U817" s="74"/>
      <c r="V817" s="74"/>
      <c r="W817" s="74"/>
      <c r="X817" s="74"/>
      <c r="Y817" s="74"/>
    </row>
    <row r="818" ht="14.25" customHeight="1">
      <c r="A818" s="74"/>
      <c r="B818" s="74"/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  <c r="Q818" s="74"/>
      <c r="R818" s="74"/>
      <c r="S818" s="74"/>
      <c r="T818" s="74"/>
      <c r="U818" s="74"/>
      <c r="V818" s="74"/>
      <c r="W818" s="74"/>
      <c r="X818" s="74"/>
      <c r="Y818" s="74"/>
    </row>
    <row r="819" ht="14.25" customHeight="1">
      <c r="A819" s="74"/>
      <c r="B819" s="74"/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  <c r="Q819" s="74"/>
      <c r="R819" s="74"/>
      <c r="S819" s="74"/>
      <c r="T819" s="74"/>
      <c r="U819" s="74"/>
      <c r="V819" s="74"/>
      <c r="W819" s="74"/>
      <c r="X819" s="74"/>
      <c r="Y819" s="74"/>
    </row>
    <row r="820" ht="14.25" customHeight="1">
      <c r="A820" s="74"/>
      <c r="B820" s="74"/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  <c r="Q820" s="74"/>
      <c r="R820" s="74"/>
      <c r="S820" s="74"/>
      <c r="T820" s="74"/>
      <c r="U820" s="74"/>
      <c r="V820" s="74"/>
      <c r="W820" s="74"/>
      <c r="X820" s="74"/>
      <c r="Y820" s="74"/>
    </row>
    <row r="821" ht="14.25" customHeight="1">
      <c r="A821" s="74"/>
      <c r="B821" s="74"/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  <c r="Q821" s="74"/>
      <c r="R821" s="74"/>
      <c r="S821" s="74"/>
      <c r="T821" s="74"/>
      <c r="U821" s="74"/>
      <c r="V821" s="74"/>
      <c r="W821" s="74"/>
      <c r="X821" s="74"/>
      <c r="Y821" s="74"/>
    </row>
    <row r="822" ht="14.25" customHeight="1">
      <c r="A822" s="74"/>
      <c r="B822" s="74"/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  <c r="Q822" s="74"/>
      <c r="R822" s="74"/>
      <c r="S822" s="74"/>
      <c r="T822" s="74"/>
      <c r="U822" s="74"/>
      <c r="V822" s="74"/>
      <c r="W822" s="74"/>
      <c r="X822" s="74"/>
      <c r="Y822" s="74"/>
    </row>
    <row r="823" ht="14.25" customHeight="1">
      <c r="A823" s="74"/>
      <c r="B823" s="74"/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  <c r="Q823" s="74"/>
      <c r="R823" s="74"/>
      <c r="S823" s="74"/>
      <c r="T823" s="74"/>
      <c r="U823" s="74"/>
      <c r="V823" s="74"/>
      <c r="W823" s="74"/>
      <c r="X823" s="74"/>
      <c r="Y823" s="74"/>
    </row>
    <row r="824" ht="14.25" customHeight="1">
      <c r="A824" s="74"/>
      <c r="B824" s="74"/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  <c r="Q824" s="74"/>
      <c r="R824" s="74"/>
      <c r="S824" s="74"/>
      <c r="T824" s="74"/>
      <c r="U824" s="74"/>
      <c r="V824" s="74"/>
      <c r="W824" s="74"/>
      <c r="X824" s="74"/>
      <c r="Y824" s="74"/>
    </row>
    <row r="825" ht="14.25" customHeight="1">
      <c r="A825" s="74"/>
      <c r="B825" s="74"/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  <c r="Q825" s="74"/>
      <c r="R825" s="74"/>
      <c r="S825" s="74"/>
      <c r="T825" s="74"/>
      <c r="U825" s="74"/>
      <c r="V825" s="74"/>
      <c r="W825" s="74"/>
      <c r="X825" s="74"/>
      <c r="Y825" s="74"/>
    </row>
    <row r="826" ht="14.25" customHeight="1">
      <c r="A826" s="74"/>
      <c r="B826" s="74"/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  <c r="Q826" s="74"/>
      <c r="R826" s="74"/>
      <c r="S826" s="74"/>
      <c r="T826" s="74"/>
      <c r="U826" s="74"/>
      <c r="V826" s="74"/>
      <c r="W826" s="74"/>
      <c r="X826" s="74"/>
      <c r="Y826" s="74"/>
    </row>
    <row r="827" ht="14.25" customHeight="1">
      <c r="A827" s="74"/>
      <c r="B827" s="74"/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  <c r="Q827" s="74"/>
      <c r="R827" s="74"/>
      <c r="S827" s="74"/>
      <c r="T827" s="74"/>
      <c r="U827" s="74"/>
      <c r="V827" s="74"/>
      <c r="W827" s="74"/>
      <c r="X827" s="74"/>
      <c r="Y827" s="74"/>
    </row>
    <row r="828" ht="14.25" customHeight="1">
      <c r="A828" s="74"/>
      <c r="B828" s="74"/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  <c r="Q828" s="74"/>
      <c r="R828" s="74"/>
      <c r="S828" s="74"/>
      <c r="T828" s="74"/>
      <c r="U828" s="74"/>
      <c r="V828" s="74"/>
      <c r="W828" s="74"/>
      <c r="X828" s="74"/>
      <c r="Y828" s="74"/>
    </row>
    <row r="829" ht="14.25" customHeight="1">
      <c r="A829" s="74"/>
      <c r="B829" s="74"/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  <c r="Q829" s="74"/>
      <c r="R829" s="74"/>
      <c r="S829" s="74"/>
      <c r="T829" s="74"/>
      <c r="U829" s="74"/>
      <c r="V829" s="74"/>
      <c r="W829" s="74"/>
      <c r="X829" s="74"/>
      <c r="Y829" s="74"/>
    </row>
    <row r="830" ht="14.25" customHeight="1">
      <c r="A830" s="74"/>
      <c r="B830" s="74"/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  <c r="Q830" s="74"/>
      <c r="R830" s="74"/>
      <c r="S830" s="74"/>
      <c r="T830" s="74"/>
      <c r="U830" s="74"/>
      <c r="V830" s="74"/>
      <c r="W830" s="74"/>
      <c r="X830" s="74"/>
      <c r="Y830" s="74"/>
    </row>
    <row r="831" ht="14.25" customHeight="1">
      <c r="A831" s="74"/>
      <c r="B831" s="74"/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  <c r="Q831" s="74"/>
      <c r="R831" s="74"/>
      <c r="S831" s="74"/>
      <c r="T831" s="74"/>
      <c r="U831" s="74"/>
      <c r="V831" s="74"/>
      <c r="W831" s="74"/>
      <c r="X831" s="74"/>
      <c r="Y831" s="74"/>
    </row>
    <row r="832" ht="14.25" customHeight="1">
      <c r="A832" s="74"/>
      <c r="B832" s="74"/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  <c r="Q832" s="74"/>
      <c r="R832" s="74"/>
      <c r="S832" s="74"/>
      <c r="T832" s="74"/>
      <c r="U832" s="74"/>
      <c r="V832" s="74"/>
      <c r="W832" s="74"/>
      <c r="X832" s="74"/>
      <c r="Y832" s="74"/>
    </row>
    <row r="833" ht="14.25" customHeight="1">
      <c r="A833" s="74"/>
      <c r="B833" s="74"/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  <c r="Q833" s="74"/>
      <c r="R833" s="74"/>
      <c r="S833" s="74"/>
      <c r="T833" s="74"/>
      <c r="U833" s="74"/>
      <c r="V833" s="74"/>
      <c r="W833" s="74"/>
      <c r="X833" s="74"/>
      <c r="Y833" s="74"/>
    </row>
    <row r="834" ht="14.25" customHeight="1">
      <c r="A834" s="74"/>
      <c r="B834" s="74"/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  <c r="Q834" s="74"/>
      <c r="R834" s="74"/>
      <c r="S834" s="74"/>
      <c r="T834" s="74"/>
      <c r="U834" s="74"/>
      <c r="V834" s="74"/>
      <c r="W834" s="74"/>
      <c r="X834" s="74"/>
      <c r="Y834" s="74"/>
    </row>
    <row r="835" ht="14.25" customHeight="1">
      <c r="A835" s="74"/>
      <c r="B835" s="74"/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  <c r="Q835" s="74"/>
      <c r="R835" s="74"/>
      <c r="S835" s="74"/>
      <c r="T835" s="74"/>
      <c r="U835" s="74"/>
      <c r="V835" s="74"/>
      <c r="W835" s="74"/>
      <c r="X835" s="74"/>
      <c r="Y835" s="74"/>
    </row>
    <row r="836" ht="14.25" customHeight="1">
      <c r="A836" s="74"/>
      <c r="B836" s="74"/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  <c r="Q836" s="74"/>
      <c r="R836" s="74"/>
      <c r="S836" s="74"/>
      <c r="T836" s="74"/>
      <c r="U836" s="74"/>
      <c r="V836" s="74"/>
      <c r="W836" s="74"/>
      <c r="X836" s="74"/>
      <c r="Y836" s="74"/>
    </row>
    <row r="837" ht="14.25" customHeight="1">
      <c r="A837" s="74"/>
      <c r="B837" s="74"/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  <c r="Q837" s="74"/>
      <c r="R837" s="74"/>
      <c r="S837" s="74"/>
      <c r="T837" s="74"/>
      <c r="U837" s="74"/>
      <c r="V837" s="74"/>
      <c r="W837" s="74"/>
      <c r="X837" s="74"/>
      <c r="Y837" s="74"/>
    </row>
    <row r="838" ht="14.25" customHeight="1">
      <c r="A838" s="74"/>
      <c r="B838" s="74"/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  <c r="Q838" s="74"/>
      <c r="R838" s="74"/>
      <c r="S838" s="74"/>
      <c r="T838" s="74"/>
      <c r="U838" s="74"/>
      <c r="V838" s="74"/>
      <c r="W838" s="74"/>
      <c r="X838" s="74"/>
      <c r="Y838" s="74"/>
    </row>
    <row r="839" ht="14.25" customHeight="1">
      <c r="A839" s="74"/>
      <c r="B839" s="74"/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  <c r="Q839" s="74"/>
      <c r="R839" s="74"/>
      <c r="S839" s="74"/>
      <c r="T839" s="74"/>
      <c r="U839" s="74"/>
      <c r="V839" s="74"/>
      <c r="W839" s="74"/>
      <c r="X839" s="74"/>
      <c r="Y839" s="74"/>
    </row>
    <row r="840" ht="14.25" customHeight="1">
      <c r="A840" s="74"/>
      <c r="B840" s="74"/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  <c r="Q840" s="74"/>
      <c r="R840" s="74"/>
      <c r="S840" s="74"/>
      <c r="T840" s="74"/>
      <c r="U840" s="74"/>
      <c r="V840" s="74"/>
      <c r="W840" s="74"/>
      <c r="X840" s="74"/>
      <c r="Y840" s="74"/>
    </row>
    <row r="841" ht="14.25" customHeight="1">
      <c r="A841" s="74"/>
      <c r="B841" s="74"/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  <c r="Q841" s="74"/>
      <c r="R841" s="74"/>
      <c r="S841" s="74"/>
      <c r="T841" s="74"/>
      <c r="U841" s="74"/>
      <c r="V841" s="74"/>
      <c r="W841" s="74"/>
      <c r="X841" s="74"/>
      <c r="Y841" s="74"/>
    </row>
    <row r="842" ht="14.25" customHeight="1">
      <c r="A842" s="74"/>
      <c r="B842" s="74"/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  <c r="Q842" s="74"/>
      <c r="R842" s="74"/>
      <c r="S842" s="74"/>
      <c r="T842" s="74"/>
      <c r="U842" s="74"/>
      <c r="V842" s="74"/>
      <c r="W842" s="74"/>
      <c r="X842" s="74"/>
      <c r="Y842" s="74"/>
    </row>
    <row r="843" ht="14.25" customHeight="1">
      <c r="A843" s="74"/>
      <c r="B843" s="74"/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  <c r="Q843" s="74"/>
      <c r="R843" s="74"/>
      <c r="S843" s="74"/>
      <c r="T843" s="74"/>
      <c r="U843" s="74"/>
      <c r="V843" s="74"/>
      <c r="W843" s="74"/>
      <c r="X843" s="74"/>
      <c r="Y843" s="74"/>
    </row>
    <row r="844" ht="14.25" customHeight="1">
      <c r="A844" s="74"/>
      <c r="B844" s="74"/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  <c r="Q844" s="74"/>
      <c r="R844" s="74"/>
      <c r="S844" s="74"/>
      <c r="T844" s="74"/>
      <c r="U844" s="74"/>
      <c r="V844" s="74"/>
      <c r="W844" s="74"/>
      <c r="X844" s="74"/>
      <c r="Y844" s="74"/>
    </row>
    <row r="845" ht="14.25" customHeight="1">
      <c r="A845" s="74"/>
      <c r="B845" s="74"/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  <c r="Q845" s="74"/>
      <c r="R845" s="74"/>
      <c r="S845" s="74"/>
      <c r="T845" s="74"/>
      <c r="U845" s="74"/>
      <c r="V845" s="74"/>
      <c r="W845" s="74"/>
      <c r="X845" s="74"/>
      <c r="Y845" s="74"/>
    </row>
    <row r="846" ht="14.25" customHeight="1">
      <c r="A846" s="74"/>
      <c r="B846" s="74"/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  <c r="Q846" s="74"/>
      <c r="R846" s="74"/>
      <c r="S846" s="74"/>
      <c r="T846" s="74"/>
      <c r="U846" s="74"/>
      <c r="V846" s="74"/>
      <c r="W846" s="74"/>
      <c r="X846" s="74"/>
      <c r="Y846" s="74"/>
    </row>
    <row r="847" ht="14.25" customHeight="1">
      <c r="A847" s="74"/>
      <c r="B847" s="74"/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  <c r="Q847" s="74"/>
      <c r="R847" s="74"/>
      <c r="S847" s="74"/>
      <c r="T847" s="74"/>
      <c r="U847" s="74"/>
      <c r="V847" s="74"/>
      <c r="W847" s="74"/>
      <c r="X847" s="74"/>
      <c r="Y847" s="74"/>
    </row>
    <row r="848" ht="14.25" customHeight="1">
      <c r="A848" s="74"/>
      <c r="B848" s="74"/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  <c r="Q848" s="74"/>
      <c r="R848" s="74"/>
      <c r="S848" s="74"/>
      <c r="T848" s="74"/>
      <c r="U848" s="74"/>
      <c r="V848" s="74"/>
      <c r="W848" s="74"/>
      <c r="X848" s="74"/>
      <c r="Y848" s="74"/>
    </row>
    <row r="849" ht="14.25" customHeight="1">
      <c r="A849" s="74"/>
      <c r="B849" s="74"/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  <c r="Q849" s="74"/>
      <c r="R849" s="74"/>
      <c r="S849" s="74"/>
      <c r="T849" s="74"/>
      <c r="U849" s="74"/>
      <c r="V849" s="74"/>
      <c r="W849" s="74"/>
      <c r="X849" s="74"/>
      <c r="Y849" s="74"/>
    </row>
    <row r="850" ht="14.25" customHeight="1">
      <c r="A850" s="74"/>
      <c r="B850" s="74"/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  <c r="Q850" s="74"/>
      <c r="R850" s="74"/>
      <c r="S850" s="74"/>
      <c r="T850" s="74"/>
      <c r="U850" s="74"/>
      <c r="V850" s="74"/>
      <c r="W850" s="74"/>
      <c r="X850" s="74"/>
      <c r="Y850" s="74"/>
    </row>
    <row r="851" ht="14.25" customHeight="1">
      <c r="A851" s="74"/>
      <c r="B851" s="74"/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  <c r="Q851" s="74"/>
      <c r="R851" s="74"/>
      <c r="S851" s="74"/>
      <c r="T851" s="74"/>
      <c r="U851" s="74"/>
      <c r="V851" s="74"/>
      <c r="W851" s="74"/>
      <c r="X851" s="74"/>
      <c r="Y851" s="74"/>
    </row>
    <row r="852" ht="14.25" customHeight="1">
      <c r="A852" s="74"/>
      <c r="B852" s="74"/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  <c r="Q852" s="74"/>
      <c r="R852" s="74"/>
      <c r="S852" s="74"/>
      <c r="T852" s="74"/>
      <c r="U852" s="74"/>
      <c r="V852" s="74"/>
      <c r="W852" s="74"/>
      <c r="X852" s="74"/>
      <c r="Y852" s="74"/>
    </row>
    <row r="853" ht="14.25" customHeight="1">
      <c r="A853" s="74"/>
      <c r="B853" s="74"/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  <c r="Q853" s="74"/>
      <c r="R853" s="74"/>
      <c r="S853" s="74"/>
      <c r="T853" s="74"/>
      <c r="U853" s="74"/>
      <c r="V853" s="74"/>
      <c r="W853" s="74"/>
      <c r="X853" s="74"/>
      <c r="Y853" s="74"/>
    </row>
    <row r="854" ht="14.25" customHeight="1">
      <c r="A854" s="74"/>
      <c r="B854" s="74"/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  <c r="Q854" s="74"/>
      <c r="R854" s="74"/>
      <c r="S854" s="74"/>
      <c r="T854" s="74"/>
      <c r="U854" s="74"/>
      <c r="V854" s="74"/>
      <c r="W854" s="74"/>
      <c r="X854" s="74"/>
      <c r="Y854" s="74"/>
    </row>
    <row r="855" ht="14.25" customHeight="1">
      <c r="A855" s="74"/>
      <c r="B855" s="74"/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</row>
    <row r="856" ht="14.25" customHeight="1">
      <c r="A856" s="74"/>
      <c r="B856" s="74"/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</row>
    <row r="857" ht="14.25" customHeight="1">
      <c r="A857" s="74"/>
      <c r="B857" s="74"/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  <c r="Q857" s="74"/>
      <c r="R857" s="74"/>
      <c r="S857" s="74"/>
      <c r="T857" s="74"/>
      <c r="U857" s="74"/>
      <c r="V857" s="74"/>
      <c r="W857" s="74"/>
      <c r="X857" s="74"/>
      <c r="Y857" s="74"/>
    </row>
    <row r="858" ht="14.25" customHeight="1">
      <c r="A858" s="74"/>
      <c r="B858" s="74"/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  <c r="Q858" s="74"/>
      <c r="R858" s="74"/>
      <c r="S858" s="74"/>
      <c r="T858" s="74"/>
      <c r="U858" s="74"/>
      <c r="V858" s="74"/>
      <c r="W858" s="74"/>
      <c r="X858" s="74"/>
      <c r="Y858" s="74"/>
    </row>
    <row r="859" ht="14.25" customHeight="1">
      <c r="A859" s="74"/>
      <c r="B859" s="74"/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  <c r="Q859" s="74"/>
      <c r="R859" s="74"/>
      <c r="S859" s="74"/>
      <c r="T859" s="74"/>
      <c r="U859" s="74"/>
      <c r="V859" s="74"/>
      <c r="W859" s="74"/>
      <c r="X859" s="74"/>
      <c r="Y859" s="74"/>
    </row>
    <row r="860" ht="14.25" customHeight="1">
      <c r="A860" s="74"/>
      <c r="B860" s="74"/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  <c r="Q860" s="74"/>
      <c r="R860" s="74"/>
      <c r="S860" s="74"/>
      <c r="T860" s="74"/>
      <c r="U860" s="74"/>
      <c r="V860" s="74"/>
      <c r="W860" s="74"/>
      <c r="X860" s="74"/>
      <c r="Y860" s="74"/>
    </row>
    <row r="861" ht="14.25" customHeight="1">
      <c r="A861" s="74"/>
      <c r="B861" s="74"/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  <c r="Q861" s="74"/>
      <c r="R861" s="74"/>
      <c r="S861" s="74"/>
      <c r="T861" s="74"/>
      <c r="U861" s="74"/>
      <c r="V861" s="74"/>
      <c r="W861" s="74"/>
      <c r="X861" s="74"/>
      <c r="Y861" s="74"/>
    </row>
    <row r="862" ht="14.25" customHeight="1">
      <c r="A862" s="74"/>
      <c r="B862" s="74"/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  <c r="Q862" s="74"/>
      <c r="R862" s="74"/>
      <c r="S862" s="74"/>
      <c r="T862" s="74"/>
      <c r="U862" s="74"/>
      <c r="V862" s="74"/>
      <c r="W862" s="74"/>
      <c r="X862" s="74"/>
      <c r="Y862" s="74"/>
    </row>
    <row r="863" ht="14.25" customHeight="1">
      <c r="A863" s="74"/>
      <c r="B863" s="74"/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</row>
    <row r="864" ht="14.25" customHeight="1">
      <c r="A864" s="74"/>
      <c r="B864" s="74"/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</row>
    <row r="865" ht="14.25" customHeight="1">
      <c r="A865" s="74"/>
      <c r="B865" s="74"/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  <c r="Q865" s="74"/>
      <c r="R865" s="74"/>
      <c r="S865" s="74"/>
      <c r="T865" s="74"/>
      <c r="U865" s="74"/>
      <c r="V865" s="74"/>
      <c r="W865" s="74"/>
      <c r="X865" s="74"/>
      <c r="Y865" s="74"/>
    </row>
    <row r="866" ht="14.25" customHeight="1">
      <c r="A866" s="74"/>
      <c r="B866" s="74"/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  <c r="Q866" s="74"/>
      <c r="R866" s="74"/>
      <c r="S866" s="74"/>
      <c r="T866" s="74"/>
      <c r="U866" s="74"/>
      <c r="V866" s="74"/>
      <c r="W866" s="74"/>
      <c r="X866" s="74"/>
      <c r="Y866" s="74"/>
    </row>
    <row r="867" ht="14.25" customHeight="1">
      <c r="A867" s="74"/>
      <c r="B867" s="74"/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  <c r="Q867" s="74"/>
      <c r="R867" s="74"/>
      <c r="S867" s="74"/>
      <c r="T867" s="74"/>
      <c r="U867" s="74"/>
      <c r="V867" s="74"/>
      <c r="W867" s="74"/>
      <c r="X867" s="74"/>
      <c r="Y867" s="74"/>
    </row>
    <row r="868" ht="14.25" customHeight="1">
      <c r="A868" s="74"/>
      <c r="B868" s="74"/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  <c r="Q868" s="74"/>
      <c r="R868" s="74"/>
      <c r="S868" s="74"/>
      <c r="T868" s="74"/>
      <c r="U868" s="74"/>
      <c r="V868" s="74"/>
      <c r="W868" s="74"/>
      <c r="X868" s="74"/>
      <c r="Y868" s="74"/>
    </row>
    <row r="869" ht="14.25" customHeight="1">
      <c r="A869" s="74"/>
      <c r="B869" s="74"/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  <c r="Q869" s="74"/>
      <c r="R869" s="74"/>
      <c r="S869" s="74"/>
      <c r="T869" s="74"/>
      <c r="U869" s="74"/>
      <c r="V869" s="74"/>
      <c r="W869" s="74"/>
      <c r="X869" s="74"/>
      <c r="Y869" s="74"/>
    </row>
    <row r="870" ht="14.25" customHeight="1">
      <c r="A870" s="74"/>
      <c r="B870" s="74"/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  <c r="Q870" s="74"/>
      <c r="R870" s="74"/>
      <c r="S870" s="74"/>
      <c r="T870" s="74"/>
      <c r="U870" s="74"/>
      <c r="V870" s="74"/>
      <c r="W870" s="74"/>
      <c r="X870" s="74"/>
      <c r="Y870" s="74"/>
    </row>
    <row r="871" ht="14.25" customHeight="1">
      <c r="A871" s="74"/>
      <c r="B871" s="74"/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</row>
    <row r="872" ht="14.25" customHeight="1">
      <c r="A872" s="74"/>
      <c r="B872" s="74"/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</row>
    <row r="873" ht="14.25" customHeight="1">
      <c r="A873" s="74"/>
      <c r="B873" s="74"/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  <c r="Q873" s="74"/>
      <c r="R873" s="74"/>
      <c r="S873" s="74"/>
      <c r="T873" s="74"/>
      <c r="U873" s="74"/>
      <c r="V873" s="74"/>
      <c r="W873" s="74"/>
      <c r="X873" s="74"/>
      <c r="Y873" s="74"/>
    </row>
    <row r="874" ht="14.25" customHeight="1">
      <c r="A874" s="74"/>
      <c r="B874" s="74"/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  <c r="Q874" s="74"/>
      <c r="R874" s="74"/>
      <c r="S874" s="74"/>
      <c r="T874" s="74"/>
      <c r="U874" s="74"/>
      <c r="V874" s="74"/>
      <c r="W874" s="74"/>
      <c r="X874" s="74"/>
      <c r="Y874" s="74"/>
    </row>
    <row r="875" ht="14.25" customHeight="1">
      <c r="A875" s="74"/>
      <c r="B875" s="74"/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  <c r="Q875" s="74"/>
      <c r="R875" s="74"/>
      <c r="S875" s="74"/>
      <c r="T875" s="74"/>
      <c r="U875" s="74"/>
      <c r="V875" s="74"/>
      <c r="W875" s="74"/>
      <c r="X875" s="74"/>
      <c r="Y875" s="74"/>
    </row>
    <row r="876" ht="14.25" customHeight="1">
      <c r="A876" s="74"/>
      <c r="B876" s="74"/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  <c r="Q876" s="74"/>
      <c r="R876" s="74"/>
      <c r="S876" s="74"/>
      <c r="T876" s="74"/>
      <c r="U876" s="74"/>
      <c r="V876" s="74"/>
      <c r="W876" s="74"/>
      <c r="X876" s="74"/>
      <c r="Y876" s="74"/>
    </row>
    <row r="877" ht="14.25" customHeight="1">
      <c r="A877" s="74"/>
      <c r="B877" s="74"/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  <c r="Q877" s="74"/>
      <c r="R877" s="74"/>
      <c r="S877" s="74"/>
      <c r="T877" s="74"/>
      <c r="U877" s="74"/>
      <c r="V877" s="74"/>
      <c r="W877" s="74"/>
      <c r="X877" s="74"/>
      <c r="Y877" s="74"/>
    </row>
    <row r="878" ht="14.25" customHeight="1">
      <c r="A878" s="74"/>
      <c r="B878" s="74"/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  <c r="Q878" s="74"/>
      <c r="R878" s="74"/>
      <c r="S878" s="74"/>
      <c r="T878" s="74"/>
      <c r="U878" s="74"/>
      <c r="V878" s="74"/>
      <c r="W878" s="74"/>
      <c r="X878" s="74"/>
      <c r="Y878" s="74"/>
    </row>
    <row r="879" ht="14.25" customHeight="1">
      <c r="A879" s="74"/>
      <c r="B879" s="74"/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  <c r="Q879" s="74"/>
      <c r="R879" s="74"/>
      <c r="S879" s="74"/>
      <c r="T879" s="74"/>
      <c r="U879" s="74"/>
      <c r="V879" s="74"/>
      <c r="W879" s="74"/>
      <c r="X879" s="74"/>
      <c r="Y879" s="74"/>
    </row>
    <row r="880" ht="14.25" customHeight="1">
      <c r="A880" s="74"/>
      <c r="B880" s="74"/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</row>
    <row r="881" ht="14.25" customHeight="1">
      <c r="A881" s="74"/>
      <c r="B881" s="74"/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</row>
    <row r="882" ht="14.25" customHeight="1">
      <c r="A882" s="74"/>
      <c r="B882" s="74"/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  <c r="Q882" s="74"/>
      <c r="R882" s="74"/>
      <c r="S882" s="74"/>
      <c r="T882" s="74"/>
      <c r="U882" s="74"/>
      <c r="V882" s="74"/>
      <c r="W882" s="74"/>
      <c r="X882" s="74"/>
      <c r="Y882" s="74"/>
    </row>
    <row r="883" ht="14.25" customHeight="1">
      <c r="A883" s="74"/>
      <c r="B883" s="74"/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  <c r="Q883" s="74"/>
      <c r="R883" s="74"/>
      <c r="S883" s="74"/>
      <c r="T883" s="74"/>
      <c r="U883" s="74"/>
      <c r="V883" s="74"/>
      <c r="W883" s="74"/>
      <c r="X883" s="74"/>
      <c r="Y883" s="74"/>
    </row>
    <row r="884" ht="14.25" customHeight="1">
      <c r="A884" s="74"/>
      <c r="B884" s="74"/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  <c r="Q884" s="74"/>
      <c r="R884" s="74"/>
      <c r="S884" s="74"/>
      <c r="T884" s="74"/>
      <c r="U884" s="74"/>
      <c r="V884" s="74"/>
      <c r="W884" s="74"/>
      <c r="X884" s="74"/>
      <c r="Y884" s="74"/>
    </row>
    <row r="885" ht="14.25" customHeight="1">
      <c r="A885" s="74"/>
      <c r="B885" s="74"/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  <c r="Q885" s="74"/>
      <c r="R885" s="74"/>
      <c r="S885" s="74"/>
      <c r="T885" s="74"/>
      <c r="U885" s="74"/>
      <c r="V885" s="74"/>
      <c r="W885" s="74"/>
      <c r="X885" s="74"/>
      <c r="Y885" s="74"/>
    </row>
    <row r="886" ht="14.25" customHeight="1">
      <c r="A886" s="74"/>
      <c r="B886" s="74"/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  <c r="Q886" s="74"/>
      <c r="R886" s="74"/>
      <c r="S886" s="74"/>
      <c r="T886" s="74"/>
      <c r="U886" s="74"/>
      <c r="V886" s="74"/>
      <c r="W886" s="74"/>
      <c r="X886" s="74"/>
      <c r="Y886" s="74"/>
    </row>
    <row r="887" ht="14.25" customHeight="1">
      <c r="A887" s="74"/>
      <c r="B887" s="74"/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  <c r="Q887" s="74"/>
      <c r="R887" s="74"/>
      <c r="S887" s="74"/>
      <c r="T887" s="74"/>
      <c r="U887" s="74"/>
      <c r="V887" s="74"/>
      <c r="W887" s="74"/>
      <c r="X887" s="74"/>
      <c r="Y887" s="74"/>
    </row>
    <row r="888" ht="14.25" customHeight="1">
      <c r="A888" s="74"/>
      <c r="B888" s="74"/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</row>
    <row r="889" ht="14.25" customHeight="1">
      <c r="A889" s="74"/>
      <c r="B889" s="74"/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</row>
    <row r="890" ht="14.25" customHeight="1">
      <c r="A890" s="74"/>
      <c r="B890" s="74"/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  <c r="Q890" s="74"/>
      <c r="R890" s="74"/>
      <c r="S890" s="74"/>
      <c r="T890" s="74"/>
      <c r="U890" s="74"/>
      <c r="V890" s="74"/>
      <c r="W890" s="74"/>
      <c r="X890" s="74"/>
      <c r="Y890" s="74"/>
    </row>
    <row r="891" ht="14.25" customHeight="1">
      <c r="A891" s="74"/>
      <c r="B891" s="74"/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  <c r="Q891" s="74"/>
      <c r="R891" s="74"/>
      <c r="S891" s="74"/>
      <c r="T891" s="74"/>
      <c r="U891" s="74"/>
      <c r="V891" s="74"/>
      <c r="W891" s="74"/>
      <c r="X891" s="74"/>
      <c r="Y891" s="74"/>
    </row>
    <row r="892" ht="14.25" customHeight="1">
      <c r="A892" s="74"/>
      <c r="B892" s="74"/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  <c r="Q892" s="74"/>
      <c r="R892" s="74"/>
      <c r="S892" s="74"/>
      <c r="T892" s="74"/>
      <c r="U892" s="74"/>
      <c r="V892" s="74"/>
      <c r="W892" s="74"/>
      <c r="X892" s="74"/>
      <c r="Y892" s="74"/>
    </row>
    <row r="893" ht="14.25" customHeight="1">
      <c r="A893" s="74"/>
      <c r="B893" s="74"/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  <c r="Q893" s="74"/>
      <c r="R893" s="74"/>
      <c r="S893" s="74"/>
      <c r="T893" s="74"/>
      <c r="U893" s="74"/>
      <c r="V893" s="74"/>
      <c r="W893" s="74"/>
      <c r="X893" s="74"/>
      <c r="Y893" s="74"/>
    </row>
    <row r="894" ht="14.25" customHeight="1">
      <c r="A894" s="74"/>
      <c r="B894" s="74"/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  <c r="Q894" s="74"/>
      <c r="R894" s="74"/>
      <c r="S894" s="74"/>
      <c r="T894" s="74"/>
      <c r="U894" s="74"/>
      <c r="V894" s="74"/>
      <c r="W894" s="74"/>
      <c r="X894" s="74"/>
      <c r="Y894" s="74"/>
    </row>
    <row r="895" ht="14.25" customHeight="1">
      <c r="A895" s="74"/>
      <c r="B895" s="74"/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  <c r="Q895" s="74"/>
      <c r="R895" s="74"/>
      <c r="S895" s="74"/>
      <c r="T895" s="74"/>
      <c r="U895" s="74"/>
      <c r="V895" s="74"/>
      <c r="W895" s="74"/>
      <c r="X895" s="74"/>
      <c r="Y895" s="74"/>
    </row>
    <row r="896" ht="14.25" customHeight="1">
      <c r="A896" s="74"/>
      <c r="B896" s="74"/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  <c r="Q896" s="74"/>
      <c r="R896" s="74"/>
      <c r="S896" s="74"/>
      <c r="T896" s="74"/>
      <c r="U896" s="74"/>
      <c r="V896" s="74"/>
      <c r="W896" s="74"/>
      <c r="X896" s="74"/>
      <c r="Y896" s="74"/>
    </row>
    <row r="897" ht="14.25" customHeight="1">
      <c r="A897" s="74"/>
      <c r="B897" s="74"/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  <c r="Q897" s="74"/>
      <c r="R897" s="74"/>
      <c r="S897" s="74"/>
      <c r="T897" s="74"/>
      <c r="U897" s="74"/>
      <c r="V897" s="74"/>
      <c r="W897" s="74"/>
      <c r="X897" s="74"/>
      <c r="Y897" s="74"/>
    </row>
    <row r="898" ht="14.25" customHeight="1">
      <c r="A898" s="74"/>
      <c r="B898" s="74"/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  <c r="Q898" s="74"/>
      <c r="R898" s="74"/>
      <c r="S898" s="74"/>
      <c r="T898" s="74"/>
      <c r="U898" s="74"/>
      <c r="V898" s="74"/>
      <c r="W898" s="74"/>
      <c r="X898" s="74"/>
      <c r="Y898" s="74"/>
    </row>
    <row r="899" ht="14.25" customHeight="1">
      <c r="A899" s="74"/>
      <c r="B899" s="74"/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  <c r="Q899" s="74"/>
      <c r="R899" s="74"/>
      <c r="S899" s="74"/>
      <c r="T899" s="74"/>
      <c r="U899" s="74"/>
      <c r="V899" s="74"/>
      <c r="W899" s="74"/>
      <c r="X899" s="74"/>
      <c r="Y899" s="74"/>
    </row>
    <row r="900" ht="14.25" customHeight="1">
      <c r="A900" s="74"/>
      <c r="B900" s="74"/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  <c r="Q900" s="74"/>
      <c r="R900" s="74"/>
      <c r="S900" s="74"/>
      <c r="T900" s="74"/>
      <c r="U900" s="74"/>
      <c r="V900" s="74"/>
      <c r="W900" s="74"/>
      <c r="X900" s="74"/>
      <c r="Y900" s="74"/>
    </row>
    <row r="901" ht="14.25" customHeight="1">
      <c r="A901" s="74"/>
      <c r="B901" s="74"/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  <c r="Q901" s="74"/>
      <c r="R901" s="74"/>
      <c r="S901" s="74"/>
      <c r="T901" s="74"/>
      <c r="U901" s="74"/>
      <c r="V901" s="74"/>
      <c r="W901" s="74"/>
      <c r="X901" s="74"/>
      <c r="Y901" s="74"/>
    </row>
    <row r="902" ht="14.25" customHeight="1">
      <c r="A902" s="74"/>
      <c r="B902" s="74"/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  <c r="Q902" s="74"/>
      <c r="R902" s="74"/>
      <c r="S902" s="74"/>
      <c r="T902" s="74"/>
      <c r="U902" s="74"/>
      <c r="V902" s="74"/>
      <c r="W902" s="74"/>
      <c r="X902" s="74"/>
      <c r="Y902" s="74"/>
    </row>
    <row r="903" ht="14.25" customHeight="1">
      <c r="A903" s="74"/>
      <c r="B903" s="74"/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  <c r="Q903" s="74"/>
      <c r="R903" s="74"/>
      <c r="S903" s="74"/>
      <c r="T903" s="74"/>
      <c r="U903" s="74"/>
      <c r="V903" s="74"/>
      <c r="W903" s="74"/>
      <c r="X903" s="74"/>
      <c r="Y903" s="74"/>
    </row>
    <row r="904" ht="14.25" customHeight="1">
      <c r="A904" s="74"/>
      <c r="B904" s="74"/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  <c r="Q904" s="74"/>
      <c r="R904" s="74"/>
      <c r="S904" s="74"/>
      <c r="T904" s="74"/>
      <c r="U904" s="74"/>
      <c r="V904" s="74"/>
      <c r="W904" s="74"/>
      <c r="X904" s="74"/>
      <c r="Y904" s="74"/>
    </row>
    <row r="905" ht="14.25" customHeight="1">
      <c r="A905" s="74"/>
      <c r="B905" s="74"/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  <c r="Q905" s="74"/>
      <c r="R905" s="74"/>
      <c r="S905" s="74"/>
      <c r="T905" s="74"/>
      <c r="U905" s="74"/>
      <c r="V905" s="74"/>
      <c r="W905" s="74"/>
      <c r="X905" s="74"/>
      <c r="Y905" s="74"/>
    </row>
    <row r="906" ht="14.25" customHeight="1">
      <c r="A906" s="74"/>
      <c r="B906" s="74"/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  <c r="Q906" s="74"/>
      <c r="R906" s="74"/>
      <c r="S906" s="74"/>
      <c r="T906" s="74"/>
      <c r="U906" s="74"/>
      <c r="V906" s="74"/>
      <c r="W906" s="74"/>
      <c r="X906" s="74"/>
      <c r="Y906" s="74"/>
    </row>
    <row r="907" ht="14.25" customHeight="1">
      <c r="A907" s="74"/>
      <c r="B907" s="74"/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  <c r="Q907" s="74"/>
      <c r="R907" s="74"/>
      <c r="S907" s="74"/>
      <c r="T907" s="74"/>
      <c r="U907" s="74"/>
      <c r="V907" s="74"/>
      <c r="W907" s="74"/>
      <c r="X907" s="74"/>
      <c r="Y907" s="74"/>
    </row>
    <row r="908" ht="14.25" customHeight="1">
      <c r="A908" s="74"/>
      <c r="B908" s="74"/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  <c r="Q908" s="74"/>
      <c r="R908" s="74"/>
      <c r="S908" s="74"/>
      <c r="T908" s="74"/>
      <c r="U908" s="74"/>
      <c r="V908" s="74"/>
      <c r="W908" s="74"/>
      <c r="X908" s="74"/>
      <c r="Y908" s="74"/>
    </row>
    <row r="909" ht="14.25" customHeight="1">
      <c r="A909" s="74"/>
      <c r="B909" s="74"/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  <c r="Q909" s="74"/>
      <c r="R909" s="74"/>
      <c r="S909" s="74"/>
      <c r="T909" s="74"/>
      <c r="U909" s="74"/>
      <c r="V909" s="74"/>
      <c r="W909" s="74"/>
      <c r="X909" s="74"/>
      <c r="Y909" s="74"/>
    </row>
    <row r="910" ht="14.25" customHeight="1">
      <c r="A910" s="74"/>
      <c r="B910" s="74"/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  <c r="Q910" s="74"/>
      <c r="R910" s="74"/>
      <c r="S910" s="74"/>
      <c r="T910" s="74"/>
      <c r="U910" s="74"/>
      <c r="V910" s="74"/>
      <c r="W910" s="74"/>
      <c r="X910" s="74"/>
      <c r="Y910" s="74"/>
    </row>
    <row r="911" ht="14.25" customHeight="1">
      <c r="A911" s="74"/>
      <c r="B911" s="74"/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  <c r="Q911" s="74"/>
      <c r="R911" s="74"/>
      <c r="S911" s="74"/>
      <c r="T911" s="74"/>
      <c r="U911" s="74"/>
      <c r="V911" s="74"/>
      <c r="W911" s="74"/>
      <c r="X911" s="74"/>
      <c r="Y911" s="74"/>
    </row>
    <row r="912" ht="14.25" customHeight="1">
      <c r="A912" s="74"/>
      <c r="B912" s="74"/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  <c r="Q912" s="74"/>
      <c r="R912" s="74"/>
      <c r="S912" s="74"/>
      <c r="T912" s="74"/>
      <c r="U912" s="74"/>
      <c r="V912" s="74"/>
      <c r="W912" s="74"/>
      <c r="X912" s="74"/>
      <c r="Y912" s="74"/>
    </row>
    <row r="913" ht="14.25" customHeight="1">
      <c r="A913" s="74"/>
      <c r="B913" s="74"/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  <c r="Q913" s="74"/>
      <c r="R913" s="74"/>
      <c r="S913" s="74"/>
      <c r="T913" s="74"/>
      <c r="U913" s="74"/>
      <c r="V913" s="74"/>
      <c r="W913" s="74"/>
      <c r="X913" s="74"/>
      <c r="Y913" s="74"/>
    </row>
    <row r="914" ht="14.25" customHeight="1">
      <c r="A914" s="74"/>
      <c r="B914" s="74"/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  <c r="Q914" s="74"/>
      <c r="R914" s="74"/>
      <c r="S914" s="74"/>
      <c r="T914" s="74"/>
      <c r="U914" s="74"/>
      <c r="V914" s="74"/>
      <c r="W914" s="74"/>
      <c r="X914" s="74"/>
      <c r="Y914" s="74"/>
    </row>
    <row r="915" ht="14.25" customHeight="1">
      <c r="A915" s="74"/>
      <c r="B915" s="74"/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  <c r="Q915" s="74"/>
      <c r="R915" s="74"/>
      <c r="S915" s="74"/>
      <c r="T915" s="74"/>
      <c r="U915" s="74"/>
      <c r="V915" s="74"/>
      <c r="W915" s="74"/>
      <c r="X915" s="74"/>
      <c r="Y915" s="74"/>
    </row>
    <row r="916" ht="14.25" customHeight="1">
      <c r="A916" s="74"/>
      <c r="B916" s="74"/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  <c r="Q916" s="74"/>
      <c r="R916" s="74"/>
      <c r="S916" s="74"/>
      <c r="T916" s="74"/>
      <c r="U916" s="74"/>
      <c r="V916" s="74"/>
      <c r="W916" s="74"/>
      <c r="X916" s="74"/>
      <c r="Y916" s="74"/>
    </row>
    <row r="917" ht="14.25" customHeight="1">
      <c r="A917" s="74"/>
      <c r="B917" s="74"/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  <c r="Q917" s="74"/>
      <c r="R917" s="74"/>
      <c r="S917" s="74"/>
      <c r="T917" s="74"/>
      <c r="U917" s="74"/>
      <c r="V917" s="74"/>
      <c r="W917" s="74"/>
      <c r="X917" s="74"/>
      <c r="Y917" s="74"/>
    </row>
    <row r="918" ht="14.25" customHeight="1">
      <c r="A918" s="74"/>
      <c r="B918" s="74"/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  <c r="Q918" s="74"/>
      <c r="R918" s="74"/>
      <c r="S918" s="74"/>
      <c r="T918" s="74"/>
      <c r="U918" s="74"/>
      <c r="V918" s="74"/>
      <c r="W918" s="74"/>
      <c r="X918" s="74"/>
      <c r="Y918" s="74"/>
    </row>
    <row r="919" ht="14.25" customHeight="1">
      <c r="A919" s="74"/>
      <c r="B919" s="74"/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  <c r="Q919" s="74"/>
      <c r="R919" s="74"/>
      <c r="S919" s="74"/>
      <c r="T919" s="74"/>
      <c r="U919" s="74"/>
      <c r="V919" s="74"/>
      <c r="W919" s="74"/>
      <c r="X919" s="74"/>
      <c r="Y919" s="74"/>
    </row>
    <row r="920" ht="14.25" customHeight="1">
      <c r="A920" s="74"/>
      <c r="B920" s="74"/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  <c r="Q920" s="74"/>
      <c r="R920" s="74"/>
      <c r="S920" s="74"/>
      <c r="T920" s="74"/>
      <c r="U920" s="74"/>
      <c r="V920" s="74"/>
      <c r="W920" s="74"/>
      <c r="X920" s="74"/>
      <c r="Y920" s="74"/>
    </row>
    <row r="921" ht="14.25" customHeight="1">
      <c r="A921" s="74"/>
      <c r="B921" s="74"/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  <c r="Q921" s="74"/>
      <c r="R921" s="74"/>
      <c r="S921" s="74"/>
      <c r="T921" s="74"/>
      <c r="U921" s="74"/>
      <c r="V921" s="74"/>
      <c r="W921" s="74"/>
      <c r="X921" s="74"/>
      <c r="Y921" s="74"/>
    </row>
    <row r="922" ht="14.25" customHeight="1">
      <c r="A922" s="74"/>
      <c r="B922" s="74"/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  <c r="Q922" s="74"/>
      <c r="R922" s="74"/>
      <c r="S922" s="74"/>
      <c r="T922" s="74"/>
      <c r="U922" s="74"/>
      <c r="V922" s="74"/>
      <c r="W922" s="74"/>
      <c r="X922" s="74"/>
      <c r="Y922" s="74"/>
    </row>
    <row r="923" ht="14.25" customHeight="1">
      <c r="A923" s="74"/>
      <c r="B923" s="74"/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  <c r="Q923" s="74"/>
      <c r="R923" s="74"/>
      <c r="S923" s="74"/>
      <c r="T923" s="74"/>
      <c r="U923" s="74"/>
      <c r="V923" s="74"/>
      <c r="W923" s="74"/>
      <c r="X923" s="74"/>
      <c r="Y923" s="74"/>
    </row>
    <row r="924" ht="14.25" customHeight="1">
      <c r="A924" s="74"/>
      <c r="B924" s="74"/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  <c r="Q924" s="74"/>
      <c r="R924" s="74"/>
      <c r="S924" s="74"/>
      <c r="T924" s="74"/>
      <c r="U924" s="74"/>
      <c r="V924" s="74"/>
      <c r="W924" s="74"/>
      <c r="X924" s="74"/>
      <c r="Y924" s="74"/>
    </row>
    <row r="925" ht="14.25" customHeight="1">
      <c r="A925" s="74"/>
      <c r="B925" s="74"/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  <c r="Q925" s="74"/>
      <c r="R925" s="74"/>
      <c r="S925" s="74"/>
      <c r="T925" s="74"/>
      <c r="U925" s="74"/>
      <c r="V925" s="74"/>
      <c r="W925" s="74"/>
      <c r="X925" s="74"/>
      <c r="Y925" s="74"/>
    </row>
    <row r="926" ht="14.25" customHeight="1">
      <c r="A926" s="74"/>
      <c r="B926" s="74"/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  <c r="Q926" s="74"/>
      <c r="R926" s="74"/>
      <c r="S926" s="74"/>
      <c r="T926" s="74"/>
      <c r="U926" s="74"/>
      <c r="V926" s="74"/>
      <c r="W926" s="74"/>
      <c r="X926" s="74"/>
      <c r="Y926" s="74"/>
    </row>
    <row r="927" ht="14.25" customHeight="1">
      <c r="A927" s="74"/>
      <c r="B927" s="74"/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  <c r="Q927" s="74"/>
      <c r="R927" s="74"/>
      <c r="S927" s="74"/>
      <c r="T927" s="74"/>
      <c r="U927" s="74"/>
      <c r="V927" s="74"/>
      <c r="W927" s="74"/>
      <c r="X927" s="74"/>
      <c r="Y927" s="74"/>
    </row>
    <row r="928" ht="14.25" customHeight="1">
      <c r="A928" s="74"/>
      <c r="B928" s="74"/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  <c r="Q928" s="74"/>
      <c r="R928" s="74"/>
      <c r="S928" s="74"/>
      <c r="T928" s="74"/>
      <c r="U928" s="74"/>
      <c r="V928" s="74"/>
      <c r="W928" s="74"/>
      <c r="X928" s="74"/>
      <c r="Y928" s="74"/>
    </row>
    <row r="929" ht="14.25" customHeight="1">
      <c r="A929" s="74"/>
      <c r="B929" s="74"/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  <c r="Q929" s="74"/>
      <c r="R929" s="74"/>
      <c r="S929" s="74"/>
      <c r="T929" s="74"/>
      <c r="U929" s="74"/>
      <c r="V929" s="74"/>
      <c r="W929" s="74"/>
      <c r="X929" s="74"/>
      <c r="Y929" s="74"/>
    </row>
    <row r="930" ht="14.25" customHeight="1">
      <c r="A930" s="74"/>
      <c r="B930" s="74"/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  <c r="Q930" s="74"/>
      <c r="R930" s="74"/>
      <c r="S930" s="74"/>
      <c r="T930" s="74"/>
      <c r="U930" s="74"/>
      <c r="V930" s="74"/>
      <c r="W930" s="74"/>
      <c r="X930" s="74"/>
      <c r="Y930" s="74"/>
    </row>
    <row r="931" ht="14.25" customHeight="1">
      <c r="A931" s="74"/>
      <c r="B931" s="74"/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  <c r="Q931" s="74"/>
      <c r="R931" s="74"/>
      <c r="S931" s="74"/>
      <c r="T931" s="74"/>
      <c r="U931" s="74"/>
      <c r="V931" s="74"/>
      <c r="W931" s="74"/>
      <c r="X931" s="74"/>
      <c r="Y931" s="74"/>
    </row>
    <row r="932" ht="14.25" customHeight="1">
      <c r="A932" s="74"/>
      <c r="B932" s="74"/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  <c r="Q932" s="74"/>
      <c r="R932" s="74"/>
      <c r="S932" s="74"/>
      <c r="T932" s="74"/>
      <c r="U932" s="74"/>
      <c r="V932" s="74"/>
      <c r="W932" s="74"/>
      <c r="X932" s="74"/>
      <c r="Y932" s="74"/>
    </row>
    <row r="933" ht="14.25" customHeight="1">
      <c r="A933" s="74"/>
      <c r="B933" s="74"/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  <c r="Q933" s="74"/>
      <c r="R933" s="74"/>
      <c r="S933" s="74"/>
      <c r="T933" s="74"/>
      <c r="U933" s="74"/>
      <c r="V933" s="74"/>
      <c r="W933" s="74"/>
      <c r="X933" s="74"/>
      <c r="Y933" s="74"/>
    </row>
    <row r="934" ht="14.25" customHeight="1">
      <c r="A934" s="74"/>
      <c r="B934" s="74"/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  <c r="Q934" s="74"/>
      <c r="R934" s="74"/>
      <c r="S934" s="74"/>
      <c r="T934" s="74"/>
      <c r="U934" s="74"/>
      <c r="V934" s="74"/>
      <c r="W934" s="74"/>
      <c r="X934" s="74"/>
      <c r="Y934" s="74"/>
    </row>
    <row r="935" ht="14.25" customHeight="1">
      <c r="A935" s="74"/>
      <c r="B935" s="74"/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  <c r="Q935" s="74"/>
      <c r="R935" s="74"/>
      <c r="S935" s="74"/>
      <c r="T935" s="74"/>
      <c r="U935" s="74"/>
      <c r="V935" s="74"/>
      <c r="W935" s="74"/>
      <c r="X935" s="74"/>
      <c r="Y935" s="74"/>
    </row>
    <row r="936" ht="14.25" customHeight="1">
      <c r="A936" s="74"/>
      <c r="B936" s="74"/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  <c r="Q936" s="74"/>
      <c r="R936" s="74"/>
      <c r="S936" s="74"/>
      <c r="T936" s="74"/>
      <c r="U936" s="74"/>
      <c r="V936" s="74"/>
      <c r="W936" s="74"/>
      <c r="X936" s="74"/>
      <c r="Y936" s="74"/>
    </row>
    <row r="937" ht="14.25" customHeight="1">
      <c r="A937" s="74"/>
      <c r="B937" s="74"/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  <c r="Q937" s="74"/>
      <c r="R937" s="74"/>
      <c r="S937" s="74"/>
      <c r="T937" s="74"/>
      <c r="U937" s="74"/>
      <c r="V937" s="74"/>
      <c r="W937" s="74"/>
      <c r="X937" s="74"/>
      <c r="Y937" s="74"/>
    </row>
    <row r="938" ht="14.25" customHeight="1">
      <c r="A938" s="74"/>
      <c r="B938" s="74"/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  <c r="Q938" s="74"/>
      <c r="R938" s="74"/>
      <c r="S938" s="74"/>
      <c r="T938" s="74"/>
      <c r="U938" s="74"/>
      <c r="V938" s="74"/>
      <c r="W938" s="74"/>
      <c r="X938" s="74"/>
      <c r="Y938" s="74"/>
    </row>
    <row r="939" ht="14.25" customHeight="1">
      <c r="A939" s="74"/>
      <c r="B939" s="74"/>
      <c r="C939" s="74"/>
      <c r="D939" s="74"/>
      <c r="E939" s="74"/>
      <c r="F939" s="74"/>
      <c r="G939" s="74"/>
      <c r="H939" s="74"/>
      <c r="I939" s="74"/>
      <c r="J939" s="74"/>
      <c r="K939" s="74"/>
      <c r="L939" s="74"/>
      <c r="M939" s="74"/>
      <c r="N939" s="74"/>
      <c r="O939" s="74"/>
      <c r="P939" s="74"/>
      <c r="Q939" s="74"/>
      <c r="R939" s="74"/>
      <c r="S939" s="74"/>
      <c r="T939" s="74"/>
      <c r="U939" s="74"/>
      <c r="V939" s="74"/>
      <c r="W939" s="74"/>
      <c r="X939" s="74"/>
      <c r="Y939" s="74"/>
    </row>
    <row r="940" ht="14.25" customHeight="1">
      <c r="A940" s="74"/>
      <c r="B940" s="74"/>
      <c r="C940" s="74"/>
      <c r="D940" s="74"/>
      <c r="E940" s="74"/>
      <c r="F940" s="74"/>
      <c r="G940" s="74"/>
      <c r="H940" s="74"/>
      <c r="I940" s="74"/>
      <c r="J940" s="74"/>
      <c r="K940" s="74"/>
      <c r="L940" s="74"/>
      <c r="M940" s="74"/>
      <c r="N940" s="74"/>
      <c r="O940" s="74"/>
      <c r="P940" s="74"/>
      <c r="Q940" s="74"/>
      <c r="R940" s="74"/>
      <c r="S940" s="74"/>
      <c r="T940" s="74"/>
      <c r="U940" s="74"/>
      <c r="V940" s="74"/>
      <c r="W940" s="74"/>
      <c r="X940" s="74"/>
      <c r="Y940" s="74"/>
    </row>
    <row r="941" ht="14.25" customHeight="1">
      <c r="A941" s="74"/>
      <c r="B941" s="74"/>
      <c r="C941" s="74"/>
      <c r="D941" s="74"/>
      <c r="E941" s="74"/>
      <c r="F941" s="74"/>
      <c r="G941" s="74"/>
      <c r="H941" s="74"/>
      <c r="I941" s="74"/>
      <c r="J941" s="74"/>
      <c r="K941" s="74"/>
      <c r="L941" s="74"/>
      <c r="M941" s="74"/>
      <c r="N941" s="74"/>
      <c r="O941" s="74"/>
      <c r="P941" s="74"/>
      <c r="Q941" s="74"/>
      <c r="R941" s="74"/>
      <c r="S941" s="74"/>
      <c r="T941" s="74"/>
      <c r="U941" s="74"/>
      <c r="V941" s="74"/>
      <c r="W941" s="74"/>
      <c r="X941" s="74"/>
      <c r="Y941" s="74"/>
    </row>
    <row r="942" ht="14.25" customHeight="1">
      <c r="A942" s="74"/>
      <c r="B942" s="74"/>
      <c r="C942" s="74"/>
      <c r="D942" s="74"/>
      <c r="E942" s="74"/>
      <c r="F942" s="74"/>
      <c r="G942" s="74"/>
      <c r="H942" s="74"/>
      <c r="I942" s="74"/>
      <c r="J942" s="74"/>
      <c r="K942" s="74"/>
      <c r="L942" s="74"/>
      <c r="M942" s="74"/>
      <c r="N942" s="74"/>
      <c r="O942" s="74"/>
      <c r="P942" s="74"/>
      <c r="Q942" s="74"/>
      <c r="R942" s="74"/>
      <c r="S942" s="74"/>
      <c r="T942" s="74"/>
      <c r="U942" s="74"/>
      <c r="V942" s="74"/>
      <c r="W942" s="74"/>
      <c r="X942" s="74"/>
      <c r="Y942" s="74"/>
    </row>
    <row r="943" ht="14.25" customHeight="1">
      <c r="A943" s="74"/>
      <c r="B943" s="74"/>
      <c r="C943" s="74"/>
      <c r="D943" s="74"/>
      <c r="E943" s="74"/>
      <c r="F943" s="74"/>
      <c r="G943" s="74"/>
      <c r="H943" s="74"/>
      <c r="I943" s="74"/>
      <c r="J943" s="74"/>
      <c r="K943" s="74"/>
      <c r="L943" s="74"/>
      <c r="M943" s="74"/>
      <c r="N943" s="74"/>
      <c r="O943" s="74"/>
      <c r="P943" s="74"/>
      <c r="Q943" s="74"/>
      <c r="R943" s="74"/>
      <c r="S943" s="74"/>
      <c r="T943" s="74"/>
      <c r="U943" s="74"/>
      <c r="V943" s="74"/>
      <c r="W943" s="74"/>
      <c r="X943" s="74"/>
      <c r="Y943" s="74"/>
    </row>
    <row r="944" ht="14.25" customHeight="1">
      <c r="A944" s="74"/>
      <c r="B944" s="74"/>
      <c r="C944" s="74"/>
      <c r="D944" s="74"/>
      <c r="E944" s="74"/>
      <c r="F944" s="74"/>
      <c r="G944" s="74"/>
      <c r="H944" s="74"/>
      <c r="I944" s="74"/>
      <c r="J944" s="74"/>
      <c r="K944" s="74"/>
      <c r="L944" s="74"/>
      <c r="M944" s="74"/>
      <c r="N944" s="74"/>
      <c r="O944" s="74"/>
      <c r="P944" s="74"/>
      <c r="Q944" s="74"/>
      <c r="R944" s="74"/>
      <c r="S944" s="74"/>
      <c r="T944" s="74"/>
      <c r="U944" s="74"/>
      <c r="V944" s="74"/>
      <c r="W944" s="74"/>
      <c r="X944" s="74"/>
      <c r="Y944" s="74"/>
    </row>
    <row r="945" ht="14.25" customHeight="1">
      <c r="A945" s="74"/>
      <c r="B945" s="74"/>
      <c r="C945" s="74"/>
      <c r="D945" s="74"/>
      <c r="E945" s="74"/>
      <c r="F945" s="74"/>
      <c r="G945" s="74"/>
      <c r="H945" s="74"/>
      <c r="I945" s="74"/>
      <c r="J945" s="74"/>
      <c r="K945" s="74"/>
      <c r="L945" s="74"/>
      <c r="M945" s="74"/>
      <c r="N945" s="74"/>
      <c r="O945" s="74"/>
      <c r="P945" s="74"/>
      <c r="Q945" s="74"/>
      <c r="R945" s="74"/>
      <c r="S945" s="74"/>
      <c r="T945" s="74"/>
      <c r="U945" s="74"/>
      <c r="V945" s="74"/>
      <c r="W945" s="74"/>
      <c r="X945" s="74"/>
      <c r="Y945" s="74"/>
    </row>
    <row r="946" ht="14.25" customHeight="1">
      <c r="A946" s="74"/>
      <c r="B946" s="74"/>
      <c r="C946" s="74"/>
      <c r="D946" s="74"/>
      <c r="E946" s="74"/>
      <c r="F946" s="74"/>
      <c r="G946" s="74"/>
      <c r="H946" s="74"/>
      <c r="I946" s="74"/>
      <c r="J946" s="74"/>
      <c r="K946" s="74"/>
      <c r="L946" s="74"/>
      <c r="M946" s="74"/>
      <c r="N946" s="74"/>
      <c r="O946" s="74"/>
      <c r="P946" s="74"/>
      <c r="Q946" s="74"/>
      <c r="R946" s="74"/>
      <c r="S946" s="74"/>
      <c r="T946" s="74"/>
      <c r="U946" s="74"/>
      <c r="V946" s="74"/>
      <c r="W946" s="74"/>
      <c r="X946" s="74"/>
      <c r="Y946" s="74"/>
    </row>
    <row r="947" ht="14.25" customHeight="1">
      <c r="A947" s="74"/>
      <c r="B947" s="74"/>
      <c r="C947" s="74"/>
      <c r="D947" s="74"/>
      <c r="E947" s="74"/>
      <c r="F947" s="74"/>
      <c r="G947" s="74"/>
      <c r="H947" s="74"/>
      <c r="I947" s="74"/>
      <c r="J947" s="74"/>
      <c r="K947" s="74"/>
      <c r="L947" s="74"/>
      <c r="M947" s="74"/>
      <c r="N947" s="74"/>
      <c r="O947" s="74"/>
      <c r="P947" s="74"/>
      <c r="Q947" s="74"/>
      <c r="R947" s="74"/>
      <c r="S947" s="74"/>
      <c r="T947" s="74"/>
      <c r="U947" s="74"/>
      <c r="V947" s="74"/>
      <c r="W947" s="74"/>
      <c r="X947" s="74"/>
      <c r="Y947" s="74"/>
    </row>
    <row r="948" ht="14.25" customHeight="1">
      <c r="A948" s="74"/>
      <c r="B948" s="74"/>
      <c r="C948" s="74"/>
      <c r="D948" s="74"/>
      <c r="E948" s="74"/>
      <c r="F948" s="74"/>
      <c r="G948" s="74"/>
      <c r="H948" s="74"/>
      <c r="I948" s="74"/>
      <c r="J948" s="74"/>
      <c r="K948" s="74"/>
      <c r="L948" s="74"/>
      <c r="M948" s="74"/>
      <c r="N948" s="74"/>
      <c r="O948" s="74"/>
      <c r="P948" s="74"/>
      <c r="Q948" s="74"/>
      <c r="R948" s="74"/>
      <c r="S948" s="74"/>
      <c r="T948" s="74"/>
      <c r="U948" s="74"/>
      <c r="V948" s="74"/>
      <c r="W948" s="74"/>
      <c r="X948" s="74"/>
      <c r="Y948" s="74"/>
    </row>
    <row r="949" ht="14.25" customHeight="1">
      <c r="A949" s="74"/>
      <c r="B949" s="74"/>
      <c r="C949" s="74"/>
      <c r="D949" s="74"/>
      <c r="E949" s="74"/>
      <c r="F949" s="74"/>
      <c r="G949" s="74"/>
      <c r="H949" s="74"/>
      <c r="I949" s="74"/>
      <c r="J949" s="74"/>
      <c r="K949" s="74"/>
      <c r="L949" s="74"/>
      <c r="M949" s="74"/>
      <c r="N949" s="74"/>
      <c r="O949" s="74"/>
      <c r="P949" s="74"/>
      <c r="Q949" s="74"/>
      <c r="R949" s="74"/>
      <c r="S949" s="74"/>
      <c r="T949" s="74"/>
      <c r="U949" s="74"/>
      <c r="V949" s="74"/>
      <c r="W949" s="74"/>
      <c r="X949" s="74"/>
      <c r="Y949" s="74"/>
    </row>
    <row r="950" ht="14.25" customHeight="1">
      <c r="A950" s="74"/>
      <c r="B950" s="74"/>
      <c r="C950" s="74"/>
      <c r="D950" s="74"/>
      <c r="E950" s="74"/>
      <c r="F950" s="74"/>
      <c r="G950" s="74"/>
      <c r="H950" s="74"/>
      <c r="I950" s="74"/>
      <c r="J950" s="74"/>
      <c r="K950" s="74"/>
      <c r="L950" s="74"/>
      <c r="M950" s="74"/>
      <c r="N950" s="74"/>
      <c r="O950" s="74"/>
      <c r="P950" s="74"/>
      <c r="Q950" s="74"/>
      <c r="R950" s="74"/>
      <c r="S950" s="74"/>
      <c r="T950" s="74"/>
      <c r="U950" s="74"/>
      <c r="V950" s="74"/>
      <c r="W950" s="74"/>
      <c r="X950" s="74"/>
      <c r="Y950" s="74"/>
    </row>
    <row r="951" ht="14.25" customHeight="1">
      <c r="A951" s="74"/>
      <c r="B951" s="74"/>
      <c r="C951" s="74"/>
      <c r="D951" s="74"/>
      <c r="E951" s="74"/>
      <c r="F951" s="74"/>
      <c r="G951" s="74"/>
      <c r="H951" s="74"/>
      <c r="I951" s="74"/>
      <c r="J951" s="74"/>
      <c r="K951" s="74"/>
      <c r="L951" s="74"/>
      <c r="M951" s="74"/>
      <c r="N951" s="74"/>
      <c r="O951" s="74"/>
      <c r="P951" s="74"/>
      <c r="Q951" s="74"/>
      <c r="R951" s="74"/>
      <c r="S951" s="74"/>
      <c r="T951" s="74"/>
      <c r="U951" s="74"/>
      <c r="V951" s="74"/>
      <c r="W951" s="74"/>
      <c r="X951" s="74"/>
      <c r="Y951" s="74"/>
    </row>
    <row r="952" ht="14.25" customHeight="1">
      <c r="A952" s="74"/>
      <c r="B952" s="74"/>
      <c r="C952" s="74"/>
      <c r="D952" s="74"/>
      <c r="E952" s="74"/>
      <c r="F952" s="74"/>
      <c r="G952" s="74"/>
      <c r="H952" s="74"/>
      <c r="I952" s="74"/>
      <c r="J952" s="74"/>
      <c r="K952" s="74"/>
      <c r="L952" s="74"/>
      <c r="M952" s="74"/>
      <c r="N952" s="74"/>
      <c r="O952" s="74"/>
      <c r="P952" s="74"/>
      <c r="Q952" s="74"/>
      <c r="R952" s="74"/>
      <c r="S952" s="74"/>
      <c r="T952" s="74"/>
      <c r="U952" s="74"/>
      <c r="V952" s="74"/>
      <c r="W952" s="74"/>
      <c r="X952" s="74"/>
      <c r="Y952" s="74"/>
    </row>
    <row r="953" ht="14.25" customHeight="1">
      <c r="A953" s="74"/>
      <c r="B953" s="74"/>
      <c r="C953" s="74"/>
      <c r="D953" s="74"/>
      <c r="E953" s="74"/>
      <c r="F953" s="74"/>
      <c r="G953" s="74"/>
      <c r="H953" s="74"/>
      <c r="I953" s="74"/>
      <c r="J953" s="74"/>
      <c r="K953" s="74"/>
      <c r="L953" s="74"/>
      <c r="M953" s="74"/>
      <c r="N953" s="74"/>
      <c r="O953" s="74"/>
      <c r="P953" s="74"/>
      <c r="Q953" s="74"/>
      <c r="R953" s="74"/>
      <c r="S953" s="74"/>
      <c r="T953" s="74"/>
      <c r="U953" s="74"/>
      <c r="V953" s="74"/>
      <c r="W953" s="74"/>
      <c r="X953" s="74"/>
      <c r="Y953" s="74"/>
    </row>
    <row r="954" ht="14.25" customHeight="1">
      <c r="A954" s="74"/>
      <c r="B954" s="74"/>
      <c r="C954" s="74"/>
      <c r="D954" s="74"/>
      <c r="E954" s="74"/>
      <c r="F954" s="74"/>
      <c r="G954" s="74"/>
      <c r="H954" s="74"/>
      <c r="I954" s="74"/>
      <c r="J954" s="74"/>
      <c r="K954" s="74"/>
      <c r="L954" s="74"/>
      <c r="M954" s="74"/>
      <c r="N954" s="74"/>
      <c r="O954" s="74"/>
      <c r="P954" s="74"/>
      <c r="Q954" s="74"/>
      <c r="R954" s="74"/>
      <c r="S954" s="74"/>
      <c r="T954" s="74"/>
      <c r="U954" s="74"/>
      <c r="V954" s="74"/>
      <c r="W954" s="74"/>
      <c r="X954" s="74"/>
      <c r="Y954" s="74"/>
    </row>
    <row r="955" ht="14.25" customHeight="1">
      <c r="A955" s="74"/>
      <c r="B955" s="74"/>
      <c r="C955" s="74"/>
      <c r="D955" s="74"/>
      <c r="E955" s="74"/>
      <c r="F955" s="74"/>
      <c r="G955" s="74"/>
      <c r="H955" s="74"/>
      <c r="I955" s="74"/>
      <c r="J955" s="74"/>
      <c r="K955" s="74"/>
      <c r="L955" s="74"/>
      <c r="M955" s="74"/>
      <c r="N955" s="74"/>
      <c r="O955" s="74"/>
      <c r="P955" s="74"/>
      <c r="Q955" s="74"/>
      <c r="R955" s="74"/>
      <c r="S955" s="74"/>
      <c r="T955" s="74"/>
      <c r="U955" s="74"/>
      <c r="V955" s="74"/>
      <c r="W955" s="74"/>
      <c r="X955" s="74"/>
      <c r="Y955" s="74"/>
    </row>
    <row r="956" ht="14.25" customHeight="1">
      <c r="A956" s="74"/>
      <c r="B956" s="74"/>
      <c r="C956" s="74"/>
      <c r="D956" s="74"/>
      <c r="E956" s="74"/>
      <c r="F956" s="74"/>
      <c r="G956" s="74"/>
      <c r="H956" s="74"/>
      <c r="I956" s="74"/>
      <c r="J956" s="74"/>
      <c r="K956" s="74"/>
      <c r="L956" s="74"/>
      <c r="M956" s="74"/>
      <c r="N956" s="74"/>
      <c r="O956" s="74"/>
      <c r="P956" s="74"/>
      <c r="Q956" s="74"/>
      <c r="R956" s="74"/>
      <c r="S956" s="74"/>
      <c r="T956" s="74"/>
      <c r="U956" s="74"/>
      <c r="V956" s="74"/>
      <c r="W956" s="74"/>
      <c r="X956" s="74"/>
      <c r="Y956" s="74"/>
    </row>
    <row r="957" ht="14.25" customHeight="1">
      <c r="A957" s="74"/>
      <c r="B957" s="74"/>
      <c r="C957" s="74"/>
      <c r="D957" s="74"/>
      <c r="E957" s="74"/>
      <c r="F957" s="74"/>
      <c r="G957" s="74"/>
      <c r="H957" s="74"/>
      <c r="I957" s="74"/>
      <c r="J957" s="74"/>
      <c r="K957" s="74"/>
      <c r="L957" s="74"/>
      <c r="M957" s="74"/>
      <c r="N957" s="74"/>
      <c r="O957" s="74"/>
      <c r="P957" s="74"/>
      <c r="Q957" s="74"/>
      <c r="R957" s="74"/>
      <c r="S957" s="74"/>
      <c r="T957" s="74"/>
      <c r="U957" s="74"/>
      <c r="V957" s="74"/>
      <c r="W957" s="74"/>
      <c r="X957" s="74"/>
      <c r="Y957" s="74"/>
    </row>
    <row r="958" ht="14.25" customHeight="1">
      <c r="A958" s="74"/>
      <c r="B958" s="74"/>
      <c r="C958" s="74"/>
      <c r="D958" s="74"/>
      <c r="E958" s="74"/>
      <c r="F958" s="74"/>
      <c r="G958" s="74"/>
      <c r="H958" s="74"/>
      <c r="I958" s="74"/>
      <c r="J958" s="74"/>
      <c r="K958" s="74"/>
      <c r="L958" s="74"/>
      <c r="M958" s="74"/>
      <c r="N958" s="74"/>
      <c r="O958" s="74"/>
      <c r="P958" s="74"/>
      <c r="Q958" s="74"/>
      <c r="R958" s="74"/>
      <c r="S958" s="74"/>
      <c r="T958" s="74"/>
      <c r="U958" s="74"/>
      <c r="V958" s="74"/>
      <c r="W958" s="74"/>
      <c r="X958" s="74"/>
      <c r="Y958" s="74"/>
    </row>
    <row r="959" ht="14.25" customHeight="1">
      <c r="A959" s="74"/>
      <c r="B959" s="74"/>
      <c r="C959" s="74"/>
      <c r="D959" s="74"/>
      <c r="E959" s="74"/>
      <c r="F959" s="74"/>
      <c r="G959" s="74"/>
      <c r="H959" s="74"/>
      <c r="I959" s="74"/>
      <c r="J959" s="74"/>
      <c r="K959" s="74"/>
      <c r="L959" s="74"/>
      <c r="M959" s="74"/>
      <c r="N959" s="74"/>
      <c r="O959" s="74"/>
      <c r="P959" s="74"/>
      <c r="Q959" s="74"/>
      <c r="R959" s="74"/>
      <c r="S959" s="74"/>
      <c r="T959" s="74"/>
      <c r="U959" s="74"/>
      <c r="V959" s="74"/>
      <c r="W959" s="74"/>
      <c r="X959" s="74"/>
      <c r="Y959" s="74"/>
    </row>
    <row r="960" ht="14.25" customHeight="1">
      <c r="A960" s="74"/>
      <c r="B960" s="74"/>
      <c r="C960" s="74"/>
      <c r="D960" s="74"/>
      <c r="E960" s="74"/>
      <c r="F960" s="74"/>
      <c r="G960" s="74"/>
      <c r="H960" s="74"/>
      <c r="I960" s="74"/>
      <c r="J960" s="74"/>
      <c r="K960" s="74"/>
      <c r="L960" s="74"/>
      <c r="M960" s="74"/>
      <c r="N960" s="74"/>
      <c r="O960" s="74"/>
      <c r="P960" s="74"/>
      <c r="Q960" s="74"/>
      <c r="R960" s="74"/>
      <c r="S960" s="74"/>
      <c r="T960" s="74"/>
      <c r="U960" s="74"/>
      <c r="V960" s="74"/>
      <c r="W960" s="74"/>
      <c r="X960" s="74"/>
      <c r="Y960" s="74"/>
    </row>
    <row r="961" ht="14.25" customHeight="1">
      <c r="A961" s="74"/>
      <c r="B961" s="74"/>
      <c r="C961" s="74"/>
      <c r="D961" s="74"/>
      <c r="E961" s="74"/>
      <c r="F961" s="74"/>
      <c r="G961" s="74"/>
      <c r="H961" s="74"/>
      <c r="I961" s="74"/>
      <c r="J961" s="74"/>
      <c r="K961" s="74"/>
      <c r="L961" s="74"/>
      <c r="M961" s="74"/>
      <c r="N961" s="74"/>
      <c r="O961" s="74"/>
      <c r="P961" s="74"/>
      <c r="Q961" s="74"/>
      <c r="R961" s="74"/>
      <c r="S961" s="74"/>
      <c r="T961" s="74"/>
      <c r="U961" s="74"/>
      <c r="V961" s="74"/>
      <c r="W961" s="74"/>
      <c r="X961" s="74"/>
      <c r="Y961" s="74"/>
    </row>
    <row r="962" ht="14.25" customHeight="1">
      <c r="A962" s="74"/>
      <c r="B962" s="74"/>
      <c r="C962" s="74"/>
      <c r="D962" s="74"/>
      <c r="E962" s="74"/>
      <c r="F962" s="74"/>
      <c r="G962" s="74"/>
      <c r="H962" s="74"/>
      <c r="I962" s="74"/>
      <c r="J962" s="74"/>
      <c r="K962" s="74"/>
      <c r="L962" s="74"/>
      <c r="M962" s="74"/>
      <c r="N962" s="74"/>
      <c r="O962" s="74"/>
      <c r="P962" s="74"/>
      <c r="Q962" s="74"/>
      <c r="R962" s="74"/>
      <c r="S962" s="74"/>
      <c r="T962" s="74"/>
      <c r="U962" s="74"/>
      <c r="V962" s="74"/>
      <c r="W962" s="74"/>
      <c r="X962" s="74"/>
      <c r="Y962" s="74"/>
    </row>
    <row r="963" ht="14.25" customHeight="1">
      <c r="A963" s="74"/>
      <c r="B963" s="74"/>
      <c r="C963" s="74"/>
      <c r="D963" s="74"/>
      <c r="E963" s="74"/>
      <c r="F963" s="74"/>
      <c r="G963" s="74"/>
      <c r="H963" s="74"/>
      <c r="I963" s="74"/>
      <c r="J963" s="74"/>
      <c r="K963" s="74"/>
      <c r="L963" s="74"/>
      <c r="M963" s="74"/>
      <c r="N963" s="74"/>
      <c r="O963" s="74"/>
      <c r="P963" s="74"/>
      <c r="Q963" s="74"/>
      <c r="R963" s="74"/>
      <c r="S963" s="74"/>
      <c r="T963" s="74"/>
      <c r="U963" s="74"/>
      <c r="V963" s="74"/>
      <c r="W963" s="74"/>
      <c r="X963" s="74"/>
      <c r="Y963" s="74"/>
    </row>
    <row r="964" ht="14.25" customHeight="1">
      <c r="A964" s="74"/>
      <c r="B964" s="74"/>
      <c r="C964" s="74"/>
      <c r="D964" s="74"/>
      <c r="E964" s="74"/>
      <c r="F964" s="74"/>
      <c r="G964" s="74"/>
      <c r="H964" s="74"/>
      <c r="I964" s="74"/>
      <c r="J964" s="74"/>
      <c r="K964" s="74"/>
      <c r="L964" s="74"/>
      <c r="M964" s="74"/>
      <c r="N964" s="74"/>
      <c r="O964" s="74"/>
      <c r="P964" s="74"/>
      <c r="Q964" s="74"/>
      <c r="R964" s="74"/>
      <c r="S964" s="74"/>
      <c r="T964" s="74"/>
      <c r="U964" s="74"/>
      <c r="V964" s="74"/>
      <c r="W964" s="74"/>
      <c r="X964" s="74"/>
      <c r="Y964" s="74"/>
    </row>
    <row r="965" ht="14.25" customHeight="1">
      <c r="A965" s="74"/>
      <c r="B965" s="74"/>
      <c r="C965" s="74"/>
      <c r="D965" s="74"/>
      <c r="E965" s="74"/>
      <c r="F965" s="74"/>
      <c r="G965" s="74"/>
      <c r="H965" s="74"/>
      <c r="I965" s="74"/>
      <c r="J965" s="74"/>
      <c r="K965" s="74"/>
      <c r="L965" s="74"/>
      <c r="M965" s="74"/>
      <c r="N965" s="74"/>
      <c r="O965" s="74"/>
      <c r="P965" s="74"/>
      <c r="Q965" s="74"/>
      <c r="R965" s="74"/>
      <c r="S965" s="74"/>
      <c r="T965" s="74"/>
      <c r="U965" s="74"/>
      <c r="V965" s="74"/>
      <c r="W965" s="74"/>
      <c r="X965" s="74"/>
      <c r="Y965" s="74"/>
    </row>
    <row r="966" ht="14.25" customHeight="1">
      <c r="A966" s="74"/>
      <c r="B966" s="74"/>
      <c r="C966" s="74"/>
      <c r="D966" s="74"/>
      <c r="E966" s="74"/>
      <c r="F966" s="74"/>
      <c r="G966" s="74"/>
      <c r="H966" s="74"/>
      <c r="I966" s="74"/>
      <c r="J966" s="74"/>
      <c r="K966" s="74"/>
      <c r="L966" s="74"/>
      <c r="M966" s="74"/>
      <c r="N966" s="74"/>
      <c r="O966" s="74"/>
      <c r="P966" s="74"/>
      <c r="Q966" s="74"/>
      <c r="R966" s="74"/>
      <c r="S966" s="74"/>
      <c r="T966" s="74"/>
      <c r="U966" s="74"/>
      <c r="V966" s="74"/>
      <c r="W966" s="74"/>
      <c r="X966" s="74"/>
      <c r="Y966" s="74"/>
    </row>
    <row r="967" ht="14.25" customHeight="1">
      <c r="A967" s="74"/>
      <c r="B967" s="74"/>
      <c r="C967" s="74"/>
      <c r="D967" s="74"/>
      <c r="E967" s="74"/>
      <c r="F967" s="74"/>
      <c r="G967" s="74"/>
      <c r="H967" s="74"/>
      <c r="I967" s="74"/>
      <c r="J967" s="74"/>
      <c r="K967" s="74"/>
      <c r="L967" s="74"/>
      <c r="M967" s="74"/>
      <c r="N967" s="74"/>
      <c r="O967" s="74"/>
      <c r="P967" s="74"/>
      <c r="Q967" s="74"/>
      <c r="R967" s="74"/>
      <c r="S967" s="74"/>
      <c r="T967" s="74"/>
      <c r="U967" s="74"/>
      <c r="V967" s="74"/>
      <c r="W967" s="74"/>
      <c r="X967" s="74"/>
      <c r="Y967" s="74"/>
    </row>
    <row r="968" ht="14.25" customHeight="1">
      <c r="A968" s="74"/>
      <c r="B968" s="74"/>
      <c r="C968" s="74"/>
      <c r="D968" s="74"/>
      <c r="E968" s="74"/>
      <c r="F968" s="74"/>
      <c r="G968" s="74"/>
      <c r="H968" s="74"/>
      <c r="I968" s="74"/>
      <c r="J968" s="74"/>
      <c r="K968" s="74"/>
      <c r="L968" s="74"/>
      <c r="M968" s="74"/>
      <c r="N968" s="74"/>
      <c r="O968" s="74"/>
      <c r="P968" s="74"/>
      <c r="Q968" s="74"/>
      <c r="R968" s="74"/>
      <c r="S968" s="74"/>
      <c r="T968" s="74"/>
      <c r="U968" s="74"/>
      <c r="V968" s="74"/>
      <c r="W968" s="74"/>
      <c r="X968" s="74"/>
      <c r="Y968" s="74"/>
    </row>
    <row r="969" ht="14.25" customHeight="1">
      <c r="A969" s="74"/>
      <c r="B969" s="74"/>
      <c r="C969" s="74"/>
      <c r="D969" s="74"/>
      <c r="E969" s="74"/>
      <c r="F969" s="74"/>
      <c r="G969" s="74"/>
      <c r="H969" s="74"/>
      <c r="I969" s="74"/>
      <c r="J969" s="74"/>
      <c r="K969" s="74"/>
      <c r="L969" s="74"/>
      <c r="M969" s="74"/>
      <c r="N969" s="74"/>
      <c r="O969" s="74"/>
      <c r="P969" s="74"/>
      <c r="Q969" s="74"/>
      <c r="R969" s="74"/>
      <c r="S969" s="74"/>
      <c r="T969" s="74"/>
      <c r="U969" s="74"/>
      <c r="V969" s="74"/>
      <c r="W969" s="74"/>
      <c r="X969" s="74"/>
      <c r="Y969" s="74"/>
    </row>
    <row r="970" ht="14.25" customHeight="1">
      <c r="A970" s="74"/>
      <c r="B970" s="74"/>
      <c r="C970" s="74"/>
      <c r="D970" s="74"/>
      <c r="E970" s="74"/>
      <c r="F970" s="74"/>
      <c r="G970" s="74"/>
      <c r="H970" s="74"/>
      <c r="I970" s="74"/>
      <c r="J970" s="74"/>
      <c r="K970" s="74"/>
      <c r="L970" s="74"/>
      <c r="M970" s="74"/>
      <c r="N970" s="74"/>
      <c r="O970" s="74"/>
      <c r="P970" s="74"/>
      <c r="Q970" s="74"/>
      <c r="R970" s="74"/>
      <c r="S970" s="74"/>
      <c r="T970" s="74"/>
      <c r="U970" s="74"/>
      <c r="V970" s="74"/>
      <c r="W970" s="74"/>
      <c r="X970" s="74"/>
      <c r="Y970" s="74"/>
    </row>
    <row r="971" ht="14.25" customHeight="1">
      <c r="A971" s="74"/>
      <c r="B971" s="74"/>
      <c r="C971" s="74"/>
      <c r="D971" s="74"/>
      <c r="E971" s="74"/>
      <c r="F971" s="74"/>
      <c r="G971" s="74"/>
      <c r="H971" s="74"/>
      <c r="I971" s="74"/>
      <c r="J971" s="74"/>
      <c r="K971" s="74"/>
      <c r="L971" s="74"/>
      <c r="M971" s="74"/>
      <c r="N971" s="74"/>
      <c r="O971" s="74"/>
      <c r="P971" s="74"/>
      <c r="Q971" s="74"/>
      <c r="R971" s="74"/>
      <c r="S971" s="74"/>
      <c r="T971" s="74"/>
      <c r="U971" s="74"/>
      <c r="V971" s="74"/>
      <c r="W971" s="74"/>
      <c r="X971" s="74"/>
      <c r="Y971" s="74"/>
    </row>
    <row r="972" ht="14.25" customHeight="1">
      <c r="A972" s="74"/>
      <c r="B972" s="74"/>
      <c r="C972" s="74"/>
      <c r="D972" s="74"/>
      <c r="E972" s="74"/>
      <c r="F972" s="74"/>
      <c r="G972" s="74"/>
      <c r="H972" s="74"/>
      <c r="I972" s="74"/>
      <c r="J972" s="74"/>
      <c r="K972" s="74"/>
      <c r="L972" s="74"/>
      <c r="M972" s="74"/>
      <c r="N972" s="74"/>
      <c r="O972" s="74"/>
      <c r="P972" s="74"/>
      <c r="Q972" s="74"/>
      <c r="R972" s="74"/>
      <c r="S972" s="74"/>
      <c r="T972" s="74"/>
      <c r="U972" s="74"/>
      <c r="V972" s="74"/>
      <c r="W972" s="74"/>
      <c r="X972" s="74"/>
      <c r="Y972" s="74"/>
    </row>
    <row r="973" ht="14.25" customHeight="1">
      <c r="A973" s="74"/>
      <c r="B973" s="74"/>
      <c r="C973" s="74"/>
      <c r="D973" s="74"/>
      <c r="E973" s="74"/>
      <c r="F973" s="74"/>
      <c r="G973" s="74"/>
      <c r="H973" s="74"/>
      <c r="I973" s="74"/>
      <c r="J973" s="74"/>
      <c r="K973" s="74"/>
      <c r="L973" s="74"/>
      <c r="M973" s="74"/>
      <c r="N973" s="74"/>
      <c r="O973" s="74"/>
      <c r="P973" s="74"/>
      <c r="Q973" s="74"/>
      <c r="R973" s="74"/>
      <c r="S973" s="74"/>
      <c r="T973" s="74"/>
      <c r="U973" s="74"/>
      <c r="V973" s="74"/>
      <c r="W973" s="74"/>
      <c r="X973" s="74"/>
      <c r="Y973" s="74"/>
    </row>
    <row r="974" ht="14.25" customHeight="1">
      <c r="A974" s="74"/>
      <c r="B974" s="74"/>
      <c r="C974" s="74"/>
      <c r="D974" s="74"/>
      <c r="E974" s="74"/>
      <c r="F974" s="74"/>
      <c r="G974" s="74"/>
      <c r="H974" s="74"/>
      <c r="I974" s="74"/>
      <c r="J974" s="74"/>
      <c r="K974" s="74"/>
      <c r="L974" s="74"/>
      <c r="M974" s="74"/>
      <c r="N974" s="74"/>
      <c r="O974" s="74"/>
      <c r="P974" s="74"/>
      <c r="Q974" s="74"/>
      <c r="R974" s="74"/>
      <c r="S974" s="74"/>
      <c r="T974" s="74"/>
      <c r="U974" s="74"/>
      <c r="V974" s="74"/>
      <c r="W974" s="74"/>
      <c r="X974" s="74"/>
      <c r="Y974" s="74"/>
    </row>
    <row r="975" ht="14.25" customHeight="1">
      <c r="A975" s="74"/>
      <c r="B975" s="74"/>
      <c r="C975" s="74"/>
      <c r="D975" s="74"/>
      <c r="E975" s="74"/>
      <c r="F975" s="74"/>
      <c r="G975" s="74"/>
      <c r="H975" s="74"/>
      <c r="I975" s="74"/>
      <c r="J975" s="74"/>
      <c r="K975" s="74"/>
      <c r="L975" s="74"/>
      <c r="M975" s="74"/>
      <c r="N975" s="74"/>
      <c r="O975" s="74"/>
      <c r="P975" s="74"/>
      <c r="Q975" s="74"/>
      <c r="R975" s="74"/>
      <c r="S975" s="74"/>
      <c r="T975" s="74"/>
      <c r="U975" s="74"/>
      <c r="V975" s="74"/>
      <c r="W975" s="74"/>
      <c r="X975" s="74"/>
      <c r="Y975" s="74"/>
    </row>
    <row r="976" ht="14.25" customHeight="1">
      <c r="A976" s="74"/>
      <c r="B976" s="74"/>
      <c r="C976" s="74"/>
      <c r="D976" s="74"/>
      <c r="E976" s="74"/>
      <c r="F976" s="74"/>
      <c r="G976" s="74"/>
      <c r="H976" s="74"/>
      <c r="I976" s="74"/>
      <c r="J976" s="74"/>
      <c r="K976" s="74"/>
      <c r="L976" s="74"/>
      <c r="M976" s="74"/>
      <c r="N976" s="74"/>
      <c r="O976" s="74"/>
      <c r="P976" s="74"/>
      <c r="Q976" s="74"/>
      <c r="R976" s="74"/>
      <c r="S976" s="74"/>
      <c r="T976" s="74"/>
      <c r="U976" s="74"/>
      <c r="V976" s="74"/>
      <c r="W976" s="74"/>
      <c r="X976" s="74"/>
      <c r="Y976" s="74"/>
    </row>
    <row r="977" ht="14.25" customHeight="1">
      <c r="A977" s="74"/>
      <c r="B977" s="74"/>
      <c r="C977" s="74"/>
      <c r="D977" s="74"/>
      <c r="E977" s="74"/>
      <c r="F977" s="74"/>
      <c r="G977" s="74"/>
      <c r="H977" s="74"/>
      <c r="I977" s="74"/>
      <c r="J977" s="74"/>
      <c r="K977" s="74"/>
      <c r="L977" s="74"/>
      <c r="M977" s="74"/>
      <c r="N977" s="74"/>
      <c r="O977" s="74"/>
      <c r="P977" s="74"/>
      <c r="Q977" s="74"/>
      <c r="R977" s="74"/>
      <c r="S977" s="74"/>
      <c r="T977" s="74"/>
      <c r="U977" s="74"/>
      <c r="V977" s="74"/>
      <c r="W977" s="74"/>
      <c r="X977" s="74"/>
      <c r="Y977" s="74"/>
    </row>
    <row r="978" ht="14.25" customHeight="1">
      <c r="A978" s="74"/>
      <c r="B978" s="74"/>
      <c r="C978" s="74"/>
      <c r="D978" s="74"/>
      <c r="E978" s="74"/>
      <c r="F978" s="74"/>
      <c r="G978" s="74"/>
      <c r="H978" s="74"/>
      <c r="I978" s="74"/>
      <c r="J978" s="74"/>
      <c r="K978" s="74"/>
      <c r="L978" s="74"/>
      <c r="M978" s="74"/>
      <c r="N978" s="74"/>
      <c r="O978" s="74"/>
      <c r="P978" s="74"/>
      <c r="Q978" s="74"/>
      <c r="R978" s="74"/>
      <c r="S978" s="74"/>
      <c r="T978" s="74"/>
      <c r="U978" s="74"/>
      <c r="V978" s="74"/>
      <c r="W978" s="74"/>
      <c r="X978" s="74"/>
      <c r="Y978" s="74"/>
    </row>
    <row r="979" ht="14.25" customHeight="1">
      <c r="A979" s="74"/>
      <c r="B979" s="74"/>
      <c r="C979" s="74"/>
      <c r="D979" s="74"/>
      <c r="E979" s="74"/>
      <c r="F979" s="74"/>
      <c r="G979" s="74"/>
      <c r="H979" s="74"/>
      <c r="I979" s="74"/>
      <c r="J979" s="74"/>
      <c r="K979" s="74"/>
      <c r="L979" s="74"/>
      <c r="M979" s="74"/>
      <c r="N979" s="74"/>
      <c r="O979" s="74"/>
      <c r="P979" s="74"/>
      <c r="Q979" s="74"/>
      <c r="R979" s="74"/>
      <c r="S979" s="74"/>
      <c r="T979" s="74"/>
      <c r="U979" s="74"/>
      <c r="V979" s="74"/>
      <c r="W979" s="74"/>
      <c r="X979" s="74"/>
      <c r="Y979" s="74"/>
    </row>
    <row r="980" ht="14.25" customHeight="1">
      <c r="A980" s="74"/>
      <c r="B980" s="74"/>
      <c r="C980" s="74"/>
      <c r="D980" s="74"/>
      <c r="E980" s="74"/>
      <c r="F980" s="74"/>
      <c r="G980" s="74"/>
      <c r="H980" s="74"/>
      <c r="I980" s="74"/>
      <c r="J980" s="74"/>
      <c r="K980" s="74"/>
      <c r="L980" s="74"/>
      <c r="M980" s="74"/>
      <c r="N980" s="74"/>
      <c r="O980" s="74"/>
      <c r="P980" s="74"/>
      <c r="Q980" s="74"/>
      <c r="R980" s="74"/>
      <c r="S980" s="74"/>
      <c r="T980" s="74"/>
      <c r="U980" s="74"/>
      <c r="V980" s="74"/>
      <c r="W980" s="74"/>
      <c r="X980" s="74"/>
      <c r="Y980" s="74"/>
    </row>
    <row r="981" ht="14.25" customHeight="1">
      <c r="A981" s="74"/>
      <c r="B981" s="74"/>
      <c r="C981" s="74"/>
      <c r="D981" s="74"/>
      <c r="E981" s="74"/>
      <c r="F981" s="74"/>
      <c r="G981" s="74"/>
      <c r="H981" s="74"/>
      <c r="I981" s="74"/>
      <c r="J981" s="74"/>
      <c r="K981" s="74"/>
      <c r="L981" s="74"/>
      <c r="M981" s="74"/>
      <c r="N981" s="74"/>
      <c r="O981" s="74"/>
      <c r="P981" s="74"/>
      <c r="Q981" s="74"/>
      <c r="R981" s="74"/>
      <c r="S981" s="74"/>
      <c r="T981" s="74"/>
      <c r="U981" s="74"/>
      <c r="V981" s="74"/>
      <c r="W981" s="74"/>
      <c r="X981" s="74"/>
      <c r="Y981" s="74"/>
    </row>
    <row r="982" ht="14.25" customHeight="1">
      <c r="A982" s="74"/>
      <c r="B982" s="74"/>
      <c r="C982" s="74"/>
      <c r="D982" s="74"/>
      <c r="E982" s="74"/>
      <c r="F982" s="74"/>
      <c r="G982" s="74"/>
      <c r="H982" s="74"/>
      <c r="I982" s="74"/>
      <c r="J982" s="74"/>
      <c r="K982" s="74"/>
      <c r="L982" s="74"/>
      <c r="M982" s="74"/>
      <c r="N982" s="74"/>
      <c r="O982" s="74"/>
      <c r="P982" s="74"/>
      <c r="Q982" s="74"/>
      <c r="R982" s="74"/>
      <c r="S982" s="74"/>
      <c r="T982" s="74"/>
      <c r="U982" s="74"/>
      <c r="V982" s="74"/>
      <c r="W982" s="74"/>
      <c r="X982" s="74"/>
      <c r="Y982" s="74"/>
    </row>
    <row r="983" ht="14.25" customHeight="1">
      <c r="A983" s="74"/>
      <c r="B983" s="74"/>
      <c r="C983" s="74"/>
      <c r="D983" s="74"/>
      <c r="E983" s="74"/>
      <c r="F983" s="74"/>
      <c r="G983" s="74"/>
      <c r="H983" s="74"/>
      <c r="I983" s="74"/>
      <c r="J983" s="74"/>
      <c r="K983" s="74"/>
      <c r="L983" s="74"/>
      <c r="M983" s="74"/>
      <c r="N983" s="74"/>
      <c r="O983" s="74"/>
      <c r="P983" s="74"/>
      <c r="Q983" s="74"/>
      <c r="R983" s="74"/>
      <c r="S983" s="74"/>
      <c r="T983" s="74"/>
      <c r="U983" s="74"/>
      <c r="V983" s="74"/>
      <c r="W983" s="74"/>
      <c r="X983" s="74"/>
      <c r="Y983" s="74"/>
    </row>
    <row r="984" ht="14.25" customHeight="1">
      <c r="A984" s="74"/>
      <c r="B984" s="74"/>
      <c r="C984" s="74"/>
      <c r="D984" s="74"/>
      <c r="E984" s="74"/>
      <c r="F984" s="74"/>
      <c r="G984" s="74"/>
      <c r="H984" s="74"/>
      <c r="I984" s="74"/>
      <c r="J984" s="74"/>
      <c r="K984" s="74"/>
      <c r="L984" s="74"/>
      <c r="M984" s="74"/>
      <c r="N984" s="74"/>
      <c r="O984" s="74"/>
      <c r="P984" s="74"/>
      <c r="Q984" s="74"/>
      <c r="R984" s="74"/>
      <c r="S984" s="74"/>
      <c r="T984" s="74"/>
      <c r="U984" s="74"/>
      <c r="V984" s="74"/>
      <c r="W984" s="74"/>
      <c r="X984" s="74"/>
      <c r="Y984" s="74"/>
    </row>
    <row r="985" ht="14.25" customHeight="1">
      <c r="A985" s="74"/>
      <c r="B985" s="74"/>
      <c r="C985" s="74"/>
      <c r="D985" s="74"/>
      <c r="E985" s="74"/>
      <c r="F985" s="74"/>
      <c r="G985" s="74"/>
      <c r="H985" s="74"/>
      <c r="I985" s="74"/>
      <c r="J985" s="74"/>
      <c r="K985" s="74"/>
      <c r="L985" s="74"/>
      <c r="M985" s="74"/>
      <c r="N985" s="74"/>
      <c r="O985" s="74"/>
      <c r="P985" s="74"/>
      <c r="Q985" s="74"/>
      <c r="R985" s="74"/>
      <c r="S985" s="74"/>
      <c r="T985" s="74"/>
      <c r="U985" s="74"/>
      <c r="V985" s="74"/>
      <c r="W985" s="74"/>
      <c r="X985" s="74"/>
      <c r="Y985" s="74"/>
    </row>
    <row r="986" ht="14.25" customHeight="1">
      <c r="A986" s="74"/>
      <c r="B986" s="74"/>
      <c r="C986" s="74"/>
      <c r="D986" s="74"/>
      <c r="E986" s="74"/>
      <c r="F986" s="74"/>
      <c r="G986" s="74"/>
      <c r="H986" s="74"/>
      <c r="I986" s="74"/>
      <c r="J986" s="74"/>
      <c r="K986" s="74"/>
      <c r="L986" s="74"/>
      <c r="M986" s="74"/>
      <c r="N986" s="74"/>
      <c r="O986" s="74"/>
      <c r="P986" s="74"/>
      <c r="Q986" s="74"/>
      <c r="R986" s="74"/>
      <c r="S986" s="74"/>
      <c r="T986" s="74"/>
      <c r="U986" s="74"/>
      <c r="V986" s="74"/>
      <c r="W986" s="74"/>
      <c r="X986" s="74"/>
      <c r="Y986" s="74"/>
    </row>
    <row r="987" ht="14.25" customHeight="1">
      <c r="A987" s="74"/>
      <c r="B987" s="74"/>
      <c r="C987" s="74"/>
      <c r="D987" s="74"/>
      <c r="E987" s="74"/>
      <c r="F987" s="74"/>
      <c r="G987" s="74"/>
      <c r="H987" s="74"/>
      <c r="I987" s="74"/>
      <c r="J987" s="74"/>
      <c r="K987" s="74"/>
      <c r="L987" s="74"/>
      <c r="M987" s="74"/>
      <c r="N987" s="74"/>
      <c r="O987" s="74"/>
      <c r="P987" s="74"/>
      <c r="Q987" s="74"/>
      <c r="R987" s="74"/>
      <c r="S987" s="74"/>
      <c r="T987" s="74"/>
      <c r="U987" s="74"/>
      <c r="V987" s="74"/>
      <c r="W987" s="74"/>
      <c r="X987" s="74"/>
      <c r="Y987" s="74"/>
    </row>
    <row r="988" ht="14.25" customHeight="1">
      <c r="A988" s="74"/>
      <c r="B988" s="74"/>
      <c r="C988" s="74"/>
      <c r="D988" s="74"/>
      <c r="E988" s="74"/>
      <c r="F988" s="74"/>
      <c r="G988" s="74"/>
      <c r="H988" s="74"/>
      <c r="I988" s="74"/>
      <c r="J988" s="74"/>
      <c r="K988" s="74"/>
      <c r="L988" s="74"/>
      <c r="M988" s="74"/>
      <c r="N988" s="74"/>
      <c r="O988" s="74"/>
      <c r="P988" s="74"/>
      <c r="Q988" s="74"/>
      <c r="R988" s="74"/>
      <c r="S988" s="74"/>
      <c r="T988" s="74"/>
      <c r="U988" s="74"/>
      <c r="V988" s="74"/>
      <c r="W988" s="74"/>
      <c r="X988" s="74"/>
      <c r="Y988" s="74"/>
    </row>
    <row r="989" ht="14.25" customHeight="1">
      <c r="A989" s="74"/>
      <c r="B989" s="74"/>
      <c r="C989" s="74"/>
      <c r="D989" s="74"/>
      <c r="E989" s="74"/>
      <c r="F989" s="74"/>
      <c r="G989" s="74"/>
      <c r="H989" s="74"/>
      <c r="I989" s="74"/>
      <c r="J989" s="74"/>
      <c r="K989" s="74"/>
      <c r="L989" s="74"/>
      <c r="M989" s="74"/>
      <c r="N989" s="74"/>
      <c r="O989" s="74"/>
      <c r="P989" s="74"/>
      <c r="Q989" s="74"/>
      <c r="R989" s="74"/>
      <c r="S989" s="74"/>
      <c r="T989" s="74"/>
      <c r="U989" s="74"/>
      <c r="V989" s="74"/>
      <c r="W989" s="74"/>
      <c r="X989" s="74"/>
      <c r="Y989" s="74"/>
    </row>
    <row r="990" ht="14.25" customHeight="1">
      <c r="A990" s="74"/>
      <c r="B990" s="74"/>
      <c r="C990" s="74"/>
      <c r="D990" s="74"/>
      <c r="E990" s="74"/>
      <c r="F990" s="74"/>
      <c r="G990" s="74"/>
      <c r="H990" s="74"/>
      <c r="I990" s="74"/>
      <c r="J990" s="74"/>
      <c r="K990" s="74"/>
      <c r="L990" s="74"/>
      <c r="M990" s="74"/>
      <c r="N990" s="74"/>
      <c r="O990" s="74"/>
      <c r="P990" s="74"/>
      <c r="Q990" s="74"/>
      <c r="R990" s="74"/>
      <c r="S990" s="74"/>
      <c r="T990" s="74"/>
      <c r="U990" s="74"/>
      <c r="V990" s="74"/>
      <c r="W990" s="74"/>
      <c r="X990" s="74"/>
      <c r="Y990" s="74"/>
    </row>
    <row r="991" ht="14.25" customHeight="1">
      <c r="A991" s="74"/>
      <c r="B991" s="74"/>
      <c r="C991" s="74"/>
      <c r="D991" s="74"/>
      <c r="E991" s="74"/>
      <c r="F991" s="74"/>
      <c r="G991" s="74"/>
      <c r="H991" s="74"/>
      <c r="I991" s="74"/>
      <c r="J991" s="74"/>
      <c r="K991" s="74"/>
      <c r="L991" s="74"/>
      <c r="M991" s="74"/>
      <c r="N991" s="74"/>
      <c r="O991" s="74"/>
      <c r="P991" s="74"/>
      <c r="Q991" s="74"/>
      <c r="R991" s="74"/>
      <c r="S991" s="74"/>
      <c r="T991" s="74"/>
      <c r="U991" s="74"/>
      <c r="V991" s="74"/>
      <c r="W991" s="74"/>
      <c r="X991" s="74"/>
      <c r="Y991" s="74"/>
    </row>
    <row r="992" ht="14.25" customHeight="1">
      <c r="A992" s="74"/>
      <c r="B992" s="74"/>
      <c r="C992" s="74"/>
      <c r="D992" s="74"/>
      <c r="E992" s="74"/>
      <c r="F992" s="74"/>
      <c r="G992" s="74"/>
      <c r="H992" s="74"/>
      <c r="I992" s="74"/>
      <c r="J992" s="74"/>
      <c r="K992" s="74"/>
      <c r="L992" s="74"/>
      <c r="M992" s="74"/>
      <c r="N992" s="74"/>
      <c r="O992" s="74"/>
      <c r="P992" s="74"/>
      <c r="Q992" s="74"/>
      <c r="R992" s="74"/>
      <c r="S992" s="74"/>
      <c r="T992" s="74"/>
      <c r="U992" s="74"/>
      <c r="V992" s="74"/>
      <c r="W992" s="74"/>
      <c r="X992" s="74"/>
      <c r="Y992" s="74"/>
    </row>
    <row r="993" ht="14.25" customHeight="1">
      <c r="A993" s="74"/>
      <c r="B993" s="74"/>
      <c r="C993" s="74"/>
      <c r="D993" s="74"/>
      <c r="E993" s="74"/>
      <c r="F993" s="74"/>
      <c r="G993" s="74"/>
      <c r="H993" s="74"/>
      <c r="I993" s="74"/>
      <c r="J993" s="74"/>
      <c r="K993" s="74"/>
      <c r="L993" s="74"/>
      <c r="M993" s="74"/>
      <c r="N993" s="74"/>
      <c r="O993" s="74"/>
      <c r="P993" s="74"/>
      <c r="Q993" s="74"/>
      <c r="R993" s="74"/>
      <c r="S993" s="74"/>
      <c r="T993" s="74"/>
      <c r="U993" s="74"/>
      <c r="V993" s="74"/>
      <c r="W993" s="74"/>
      <c r="X993" s="74"/>
      <c r="Y993" s="74"/>
    </row>
    <row r="994" ht="14.25" customHeight="1">
      <c r="A994" s="74"/>
      <c r="B994" s="74"/>
      <c r="C994" s="74"/>
      <c r="D994" s="74"/>
      <c r="E994" s="74"/>
      <c r="F994" s="74"/>
      <c r="G994" s="74"/>
      <c r="H994" s="74"/>
      <c r="I994" s="74"/>
      <c r="J994" s="74"/>
      <c r="K994" s="74"/>
      <c r="L994" s="74"/>
      <c r="M994" s="74"/>
      <c r="N994" s="74"/>
      <c r="O994" s="74"/>
      <c r="P994" s="74"/>
      <c r="Q994" s="74"/>
      <c r="R994" s="74"/>
      <c r="S994" s="74"/>
      <c r="T994" s="74"/>
      <c r="U994" s="74"/>
      <c r="V994" s="74"/>
      <c r="W994" s="74"/>
      <c r="X994" s="74"/>
      <c r="Y994" s="74"/>
    </row>
    <row r="995" ht="14.25" customHeight="1">
      <c r="A995" s="74"/>
      <c r="B995" s="74"/>
      <c r="C995" s="74"/>
      <c r="D995" s="74"/>
      <c r="E995" s="74"/>
      <c r="F995" s="74"/>
      <c r="G995" s="74"/>
      <c r="H995" s="74"/>
      <c r="I995" s="74"/>
      <c r="J995" s="74"/>
      <c r="K995" s="74"/>
      <c r="L995" s="74"/>
      <c r="M995" s="74"/>
      <c r="N995" s="74"/>
      <c r="O995" s="74"/>
      <c r="P995" s="74"/>
      <c r="Q995" s="74"/>
      <c r="R995" s="74"/>
      <c r="S995" s="74"/>
      <c r="T995" s="74"/>
      <c r="U995" s="74"/>
      <c r="V995" s="74"/>
      <c r="W995" s="74"/>
      <c r="X995" s="74"/>
      <c r="Y995" s="74"/>
    </row>
    <row r="996" ht="14.25" customHeight="1">
      <c r="A996" s="74"/>
      <c r="B996" s="74"/>
      <c r="C996" s="74"/>
      <c r="D996" s="74"/>
      <c r="E996" s="74"/>
      <c r="F996" s="74"/>
      <c r="G996" s="74"/>
      <c r="H996" s="74"/>
      <c r="I996" s="74"/>
      <c r="J996" s="74"/>
      <c r="K996" s="74"/>
      <c r="L996" s="74"/>
      <c r="M996" s="74"/>
      <c r="N996" s="74"/>
      <c r="O996" s="74"/>
      <c r="P996" s="74"/>
      <c r="Q996" s="74"/>
      <c r="R996" s="74"/>
      <c r="S996" s="74"/>
      <c r="T996" s="74"/>
      <c r="U996" s="74"/>
      <c r="V996" s="74"/>
      <c r="W996" s="74"/>
      <c r="X996" s="74"/>
      <c r="Y996" s="74"/>
    </row>
    <row r="997" ht="14.25" customHeight="1">
      <c r="A997" s="74"/>
      <c r="B997" s="74"/>
      <c r="C997" s="74"/>
      <c r="D997" s="74"/>
      <c r="E997" s="74"/>
      <c r="F997" s="74"/>
      <c r="G997" s="74"/>
      <c r="H997" s="74"/>
      <c r="I997" s="74"/>
      <c r="J997" s="74"/>
      <c r="K997" s="74"/>
      <c r="L997" s="74"/>
      <c r="M997" s="74"/>
      <c r="N997" s="74"/>
      <c r="O997" s="74"/>
      <c r="P997" s="74"/>
      <c r="Q997" s="74"/>
      <c r="R997" s="74"/>
      <c r="S997" s="74"/>
      <c r="T997" s="74"/>
      <c r="U997" s="74"/>
      <c r="V997" s="74"/>
      <c r="W997" s="74"/>
      <c r="X997" s="74"/>
      <c r="Y997" s="74"/>
    </row>
    <row r="998" ht="14.25" customHeight="1">
      <c r="A998" s="74"/>
      <c r="B998" s="74"/>
      <c r="C998" s="74"/>
      <c r="D998" s="74"/>
      <c r="E998" s="74"/>
      <c r="F998" s="74"/>
      <c r="G998" s="74"/>
      <c r="H998" s="74"/>
      <c r="I998" s="74"/>
      <c r="J998" s="74"/>
      <c r="K998" s="74"/>
      <c r="L998" s="74"/>
      <c r="M998" s="74"/>
      <c r="N998" s="74"/>
      <c r="O998" s="74"/>
      <c r="P998" s="74"/>
      <c r="Q998" s="74"/>
      <c r="R998" s="74"/>
      <c r="S998" s="74"/>
      <c r="T998" s="74"/>
      <c r="U998" s="74"/>
      <c r="V998" s="74"/>
      <c r="W998" s="74"/>
      <c r="X998" s="74"/>
      <c r="Y998" s="74"/>
    </row>
    <row r="999" ht="14.25" customHeight="1">
      <c r="A999" s="74"/>
      <c r="B999" s="74"/>
      <c r="C999" s="74"/>
      <c r="D999" s="74"/>
      <c r="E999" s="74"/>
      <c r="F999" s="74"/>
      <c r="G999" s="74"/>
      <c r="H999" s="74"/>
      <c r="I999" s="74"/>
      <c r="J999" s="74"/>
      <c r="K999" s="74"/>
      <c r="L999" s="74"/>
      <c r="M999" s="74"/>
      <c r="N999" s="74"/>
      <c r="O999" s="74"/>
      <c r="P999" s="74"/>
      <c r="Q999" s="74"/>
      <c r="R999" s="74"/>
      <c r="S999" s="74"/>
      <c r="T999" s="74"/>
      <c r="U999" s="74"/>
      <c r="V999" s="74"/>
      <c r="W999" s="74"/>
      <c r="X999" s="74"/>
      <c r="Y999" s="74"/>
    </row>
    <row r="1000" ht="14.25" customHeight="1">
      <c r="A1000" s="74"/>
      <c r="B1000" s="74"/>
      <c r="C1000" s="74"/>
      <c r="D1000" s="74"/>
      <c r="E1000" s="74"/>
      <c r="F1000" s="74"/>
      <c r="G1000" s="74"/>
      <c r="H1000" s="74"/>
      <c r="I1000" s="74"/>
      <c r="J1000" s="74"/>
      <c r="K1000" s="74"/>
      <c r="L1000" s="74"/>
      <c r="M1000" s="74"/>
      <c r="N1000" s="74"/>
      <c r="O1000" s="74"/>
      <c r="P1000" s="74"/>
      <c r="Q1000" s="74"/>
      <c r="R1000" s="74"/>
      <c r="S1000" s="74"/>
      <c r="T1000" s="74"/>
      <c r="U1000" s="74"/>
      <c r="V1000" s="74"/>
      <c r="W1000" s="74"/>
      <c r="X1000" s="74"/>
      <c r="Y1000" s="74"/>
    </row>
    <row r="1001" ht="14.25" customHeight="1">
      <c r="A1001" s="74"/>
      <c r="B1001" s="74"/>
      <c r="C1001" s="74"/>
      <c r="D1001" s="74"/>
      <c r="E1001" s="74"/>
      <c r="F1001" s="74"/>
      <c r="G1001" s="74"/>
      <c r="H1001" s="74"/>
      <c r="I1001" s="74"/>
      <c r="J1001" s="74"/>
      <c r="K1001" s="74"/>
      <c r="L1001" s="74"/>
      <c r="M1001" s="74"/>
      <c r="N1001" s="74"/>
      <c r="O1001" s="74"/>
      <c r="P1001" s="74"/>
      <c r="Q1001" s="74"/>
      <c r="R1001" s="74"/>
      <c r="S1001" s="74"/>
      <c r="T1001" s="74"/>
      <c r="U1001" s="74"/>
      <c r="V1001" s="74"/>
      <c r="W1001" s="74"/>
      <c r="X1001" s="74"/>
      <c r="Y1001" s="74"/>
    </row>
    <row r="1002" ht="14.25" customHeight="1">
      <c r="A1002" s="74"/>
      <c r="B1002" s="74"/>
      <c r="C1002" s="74"/>
      <c r="D1002" s="74"/>
      <c r="E1002" s="74"/>
      <c r="F1002" s="74"/>
      <c r="G1002" s="74"/>
      <c r="H1002" s="74"/>
      <c r="I1002" s="74"/>
      <c r="J1002" s="74"/>
      <c r="K1002" s="74"/>
      <c r="L1002" s="74"/>
      <c r="M1002" s="74"/>
      <c r="N1002" s="74"/>
      <c r="O1002" s="74"/>
      <c r="P1002" s="74"/>
      <c r="Q1002" s="74"/>
      <c r="R1002" s="74"/>
      <c r="S1002" s="74"/>
      <c r="T1002" s="74"/>
      <c r="U1002" s="74"/>
      <c r="V1002" s="74"/>
      <c r="W1002" s="74"/>
      <c r="X1002" s="74"/>
      <c r="Y1002" s="74"/>
    </row>
  </sheetData>
  <mergeCells count="122">
    <mergeCell ref="A1:T1"/>
    <mergeCell ref="A3:T3"/>
    <mergeCell ref="A4:T4"/>
    <mergeCell ref="B5:J5"/>
    <mergeCell ref="K5:T5"/>
    <mergeCell ref="A11:T11"/>
    <mergeCell ref="B12:J12"/>
    <mergeCell ref="K12:T12"/>
    <mergeCell ref="A19:T19"/>
    <mergeCell ref="B20:J20"/>
    <mergeCell ref="K20:T20"/>
    <mergeCell ref="A31:T31"/>
    <mergeCell ref="B32:J32"/>
    <mergeCell ref="K32:T32"/>
    <mergeCell ref="A39:J39"/>
    <mergeCell ref="B40:J40"/>
    <mergeCell ref="A48:T48"/>
    <mergeCell ref="A49:T49"/>
    <mergeCell ref="B50:J50"/>
    <mergeCell ref="K50:T50"/>
    <mergeCell ref="A56:T56"/>
    <mergeCell ref="B57:J57"/>
    <mergeCell ref="K57:T57"/>
    <mergeCell ref="A64:T64"/>
    <mergeCell ref="B65:J65"/>
    <mergeCell ref="K65:T65"/>
    <mergeCell ref="A73:T73"/>
    <mergeCell ref="B74:J74"/>
    <mergeCell ref="K74:T74"/>
    <mergeCell ref="A80:T80"/>
    <mergeCell ref="B81:J81"/>
    <mergeCell ref="K81:T81"/>
    <mergeCell ref="A87:K87"/>
    <mergeCell ref="B88:K88"/>
    <mergeCell ref="A93:K93"/>
    <mergeCell ref="B94:J94"/>
    <mergeCell ref="K94:K95"/>
    <mergeCell ref="A103:K103"/>
    <mergeCell ref="A104:K104"/>
    <mergeCell ref="A109:T113"/>
    <mergeCell ref="A116:K116"/>
    <mergeCell ref="B117:J117"/>
    <mergeCell ref="B118:J118"/>
    <mergeCell ref="B119:J119"/>
    <mergeCell ref="B120:J120"/>
    <mergeCell ref="B121:J121"/>
    <mergeCell ref="B122:J122"/>
    <mergeCell ref="B123:J123"/>
    <mergeCell ref="B124:J124"/>
    <mergeCell ref="B251:J251"/>
    <mergeCell ref="B252:J252"/>
    <mergeCell ref="A255:K255"/>
    <mergeCell ref="A256:J256"/>
    <mergeCell ref="B257:J257"/>
    <mergeCell ref="B258:J258"/>
    <mergeCell ref="B260:J260"/>
    <mergeCell ref="A283:A284"/>
    <mergeCell ref="A287:A288"/>
    <mergeCell ref="A298:A299"/>
    <mergeCell ref="A290:T290"/>
    <mergeCell ref="B291:J291"/>
    <mergeCell ref="K291:S291"/>
    <mergeCell ref="A297:K297"/>
    <mergeCell ref="A301:T301"/>
    <mergeCell ref="B302:J302"/>
    <mergeCell ref="K302:S302"/>
    <mergeCell ref="B266:J266"/>
    <mergeCell ref="A267:K267"/>
    <mergeCell ref="A275:S275"/>
    <mergeCell ref="B276:I276"/>
    <mergeCell ref="J276:R276"/>
    <mergeCell ref="A282:K282"/>
    <mergeCell ref="A286:K286"/>
    <mergeCell ref="B125:J125"/>
    <mergeCell ref="B126:J126"/>
    <mergeCell ref="B127:J127"/>
    <mergeCell ref="B128:J128"/>
    <mergeCell ref="A131:K131"/>
    <mergeCell ref="A132:K132"/>
    <mergeCell ref="A141:K141"/>
    <mergeCell ref="B142:J142"/>
    <mergeCell ref="B143:J143"/>
    <mergeCell ref="B144:J144"/>
    <mergeCell ref="B145:J145"/>
    <mergeCell ref="A149:T153"/>
    <mergeCell ref="A155:J155"/>
    <mergeCell ref="A156:T156"/>
    <mergeCell ref="B157:J157"/>
    <mergeCell ref="K157:S157"/>
    <mergeCell ref="T157:T158"/>
    <mergeCell ref="A166:T166"/>
    <mergeCell ref="B167:J167"/>
    <mergeCell ref="K167:S167"/>
    <mergeCell ref="A173:T173"/>
    <mergeCell ref="B174:J174"/>
    <mergeCell ref="K174:S174"/>
    <mergeCell ref="A183:T183"/>
    <mergeCell ref="B184:J184"/>
    <mergeCell ref="K184:S184"/>
    <mergeCell ref="A191:T192"/>
    <mergeCell ref="B193:J193"/>
    <mergeCell ref="K193:S193"/>
    <mergeCell ref="A201:T201"/>
    <mergeCell ref="B202:J202"/>
    <mergeCell ref="K202:S202"/>
    <mergeCell ref="A221:T221"/>
    <mergeCell ref="B222:J222"/>
    <mergeCell ref="K222:S222"/>
    <mergeCell ref="A228:S228"/>
    <mergeCell ref="B229:I229"/>
    <mergeCell ref="J229:R229"/>
    <mergeCell ref="A230:A231"/>
    <mergeCell ref="A234:K234"/>
    <mergeCell ref="A235:A237"/>
    <mergeCell ref="B235:J235"/>
    <mergeCell ref="A240:S240"/>
    <mergeCell ref="B241:J241"/>
    <mergeCell ref="K241:R241"/>
    <mergeCell ref="A246:S246"/>
    <mergeCell ref="A248:K248"/>
    <mergeCell ref="A249:J249"/>
    <mergeCell ref="B250:J250"/>
  </mergeCells>
  <conditionalFormatting sqref="B7:S8">
    <cfRule type="cellIs" dxfId="1" priority="1" operator="lessThan">
      <formula>3</formula>
    </cfRule>
  </conditionalFormatting>
  <conditionalFormatting sqref="B14:S16">
    <cfRule type="cellIs" dxfId="1" priority="2" operator="lessThan">
      <formula>3</formula>
    </cfRule>
  </conditionalFormatting>
  <conditionalFormatting sqref="B22:S28">
    <cfRule type="cellIs" dxfId="1" priority="3" operator="lessThan">
      <formula>3</formula>
    </cfRule>
  </conditionalFormatting>
  <conditionalFormatting sqref="B34:S35">
    <cfRule type="cellIs" dxfId="1" priority="4" operator="lessThan">
      <formula>3</formula>
    </cfRule>
  </conditionalFormatting>
  <conditionalFormatting sqref="B42:J43">
    <cfRule type="cellIs" dxfId="1" priority="5" operator="lessThan">
      <formula>3</formula>
    </cfRule>
  </conditionalFormatting>
  <conditionalFormatting sqref="B52:S53">
    <cfRule type="cellIs" dxfId="1" priority="6" operator="lessThan">
      <formula>3</formula>
    </cfRule>
  </conditionalFormatting>
  <conditionalFormatting sqref="B59:S61">
    <cfRule type="cellIs" dxfId="1" priority="7" operator="lessThan">
      <formula>3</formula>
    </cfRule>
  </conditionalFormatting>
  <conditionalFormatting sqref="B67:S70">
    <cfRule type="cellIs" dxfId="1" priority="8" operator="lessThan">
      <formula>3</formula>
    </cfRule>
  </conditionalFormatting>
  <conditionalFormatting sqref="B76:S77">
    <cfRule type="cellIs" dxfId="1" priority="9" operator="lessThan">
      <formula>3</formula>
    </cfRule>
  </conditionalFormatting>
  <conditionalFormatting sqref="B83:S84">
    <cfRule type="cellIs" dxfId="1" priority="10" operator="lessThan">
      <formula>3</formula>
    </cfRule>
  </conditionalFormatting>
  <conditionalFormatting sqref="B90:K91">
    <cfRule type="cellIs" dxfId="1" priority="11" operator="lessThan">
      <formula>3</formula>
    </cfRule>
  </conditionalFormatting>
  <conditionalFormatting sqref="B96:J100">
    <cfRule type="cellIs" dxfId="1" priority="12" operator="lessThan">
      <formula>3</formula>
    </cfRule>
  </conditionalFormatting>
  <conditionalFormatting sqref="B106:K106">
    <cfRule type="cellIs" dxfId="1" priority="13" operator="lessThan">
      <formula>3</formula>
    </cfRule>
  </conditionalFormatting>
  <conditionalFormatting sqref="B118:J128">
    <cfRule type="cellIs" dxfId="1" priority="14" operator="lessThan">
      <formula>3</formula>
    </cfRule>
  </conditionalFormatting>
  <conditionalFormatting sqref="B134:K136">
    <cfRule type="cellIs" dxfId="1" priority="15" operator="lessThan">
      <formula>3</formula>
    </cfRule>
  </conditionalFormatting>
  <conditionalFormatting sqref="B144:J145">
    <cfRule type="cellIs" dxfId="1" priority="16" operator="lessThan">
      <formula>3</formula>
    </cfRule>
  </conditionalFormatting>
  <conditionalFormatting sqref="B159:S163">
    <cfRule type="cellIs" dxfId="1" priority="17" operator="lessThan">
      <formula>3</formula>
    </cfRule>
  </conditionalFormatting>
  <conditionalFormatting sqref="B169:S170">
    <cfRule type="cellIs" dxfId="1" priority="18" operator="lessThan">
      <formula>3</formula>
    </cfRule>
  </conditionalFormatting>
  <conditionalFormatting sqref="B176:S180">
    <cfRule type="cellIs" dxfId="1" priority="19" operator="lessThan">
      <formula>3</formula>
    </cfRule>
  </conditionalFormatting>
  <conditionalFormatting sqref="B186:S188">
    <cfRule type="cellIs" dxfId="1" priority="20" operator="lessThan">
      <formula>3</formula>
    </cfRule>
  </conditionalFormatting>
  <conditionalFormatting sqref="B195:S198">
    <cfRule type="cellIs" dxfId="1" priority="21" operator="lessThan">
      <formula>3</formula>
    </cfRule>
  </conditionalFormatting>
  <conditionalFormatting sqref="B204:S218 B293:S295 B304:S304">
    <cfRule type="cellIs" dxfId="1" priority="22" operator="lessThan">
      <formula>3</formula>
    </cfRule>
  </conditionalFormatting>
  <conditionalFormatting sqref="B224:S224">
    <cfRule type="cellIs" dxfId="1" priority="23" operator="lessThan">
      <formula>3</formula>
    </cfRule>
  </conditionalFormatting>
  <conditionalFormatting sqref="B231:R231">
    <cfRule type="cellIs" dxfId="1" priority="24" operator="lessThan">
      <formula>3</formula>
    </cfRule>
  </conditionalFormatting>
  <conditionalFormatting sqref="B237:J237">
    <cfRule type="cellIs" dxfId="1" priority="25" operator="lessThan">
      <formula>3</formula>
    </cfRule>
  </conditionalFormatting>
  <conditionalFormatting sqref="B243:S243">
    <cfRule type="cellIs" dxfId="1" priority="26" operator="lessThan">
      <formula>3</formula>
    </cfRule>
  </conditionalFormatting>
  <conditionalFormatting sqref="B250:J252">
    <cfRule type="cellIs" dxfId="1" priority="27" operator="lessThan">
      <formula>3</formula>
    </cfRule>
  </conditionalFormatting>
  <conditionalFormatting sqref="B257:J258">
    <cfRule type="cellIs" dxfId="1" priority="28" operator="lessThan">
      <formula>3</formula>
    </cfRule>
  </conditionalFormatting>
  <conditionalFormatting sqref="B263:K264">
    <cfRule type="cellIs" dxfId="1" priority="29" operator="lessThan">
      <formula>3</formula>
    </cfRule>
  </conditionalFormatting>
  <conditionalFormatting sqref="B269:J272">
    <cfRule type="cellIs" dxfId="1" priority="30" operator="lessThan">
      <formula>3</formula>
    </cfRule>
  </conditionalFormatting>
  <conditionalFormatting sqref="B278:S278">
    <cfRule type="cellIs" dxfId="1" priority="31" operator="lessThan">
      <formula>3</formula>
    </cfRule>
  </conditionalFormatting>
  <conditionalFormatting sqref="B284:J284 B299:J299">
    <cfRule type="cellIs" dxfId="1" priority="32" operator="lessThan">
      <formula>3</formula>
    </cfRule>
  </conditionalFormatting>
  <conditionalFormatting sqref="B288:J288">
    <cfRule type="cellIs" dxfId="1" priority="33" operator="lessThan">
      <formula>3</formula>
    </cfRule>
  </conditionalFormatting>
  <printOptions/>
  <pageMargins bottom="0.75" footer="0.0" header="0.0" left="0.7" right="0.7" top="0.75"/>
  <pageSetup orientation="portrait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43"/>
    <col customWidth="1" min="2" max="19" width="10.71"/>
    <col customWidth="1" min="20" max="20" width="25.43"/>
    <col customWidth="1" min="21" max="21" width="4.57"/>
    <col customWidth="1" min="22" max="22" width="17.57"/>
    <col customWidth="1" min="23" max="23" width="16.86"/>
    <col customWidth="1" min="24" max="24" width="15.14"/>
    <col customWidth="1" min="25" max="25" width="15.57"/>
    <col customWidth="1" min="26" max="26" width="17.71"/>
    <col customWidth="1" min="27" max="27" width="15.43"/>
    <col customWidth="1" min="28" max="29" width="10.71"/>
  </cols>
  <sheetData>
    <row r="1" ht="19.5" customHeight="1">
      <c r="A1" s="280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281"/>
      <c r="L1" s="37"/>
      <c r="M1" s="37"/>
      <c r="N1" s="37"/>
      <c r="O1" s="37"/>
      <c r="P1" s="37"/>
      <c r="Q1" s="37"/>
      <c r="R1" s="37"/>
      <c r="S1" s="37"/>
      <c r="T1" s="37"/>
      <c r="U1" s="13"/>
      <c r="V1" s="282"/>
      <c r="AC1" s="13"/>
    </row>
    <row r="2" ht="19.5" customHeight="1">
      <c r="A2" s="283" t="s">
        <v>77</v>
      </c>
      <c r="B2" s="54"/>
      <c r="C2" s="54"/>
      <c r="D2" s="54"/>
      <c r="E2" s="54"/>
      <c r="F2" s="54"/>
      <c r="G2" s="54"/>
      <c r="H2" s="54"/>
      <c r="I2" s="54"/>
      <c r="J2" s="54"/>
      <c r="K2" s="70"/>
      <c r="L2" s="37"/>
      <c r="M2" s="37"/>
      <c r="N2" s="37"/>
      <c r="O2" s="37"/>
      <c r="P2" s="37"/>
      <c r="Q2" s="37"/>
      <c r="R2" s="37"/>
      <c r="S2" s="37"/>
      <c r="T2" s="37"/>
      <c r="U2" s="13"/>
      <c r="AC2" s="13"/>
    </row>
    <row r="3" ht="19.5" customHeight="1">
      <c r="A3" s="284"/>
      <c r="B3" s="285" t="s">
        <v>135</v>
      </c>
      <c r="C3" s="54"/>
      <c r="D3" s="54"/>
      <c r="E3" s="54"/>
      <c r="F3" s="54"/>
      <c r="G3" s="54"/>
      <c r="H3" s="54"/>
      <c r="I3" s="54"/>
      <c r="J3" s="70"/>
      <c r="K3" s="286"/>
      <c r="L3" s="37"/>
      <c r="M3" s="37"/>
      <c r="N3" s="37"/>
      <c r="O3" s="37"/>
      <c r="P3" s="37"/>
      <c r="Q3" s="37"/>
      <c r="R3" s="37"/>
      <c r="S3" s="37"/>
      <c r="T3" s="37"/>
      <c r="U3" s="13"/>
      <c r="V3" s="13"/>
      <c r="W3" s="13"/>
      <c r="X3" s="13"/>
      <c r="Y3" s="13"/>
      <c r="Z3" s="13"/>
      <c r="AA3" s="13"/>
      <c r="AB3" s="13"/>
      <c r="AC3" s="37"/>
    </row>
    <row r="4" ht="19.5" customHeight="1">
      <c r="A4" s="284" t="s">
        <v>93</v>
      </c>
      <c r="B4" s="287">
        <v>28.0</v>
      </c>
      <c r="C4" s="287">
        <v>30.0</v>
      </c>
      <c r="D4" s="287">
        <v>32.0</v>
      </c>
      <c r="E4" s="287">
        <v>34.0</v>
      </c>
      <c r="F4" s="287">
        <v>36.0</v>
      </c>
      <c r="G4" s="287">
        <v>38.0</v>
      </c>
      <c r="H4" s="287">
        <v>40.0</v>
      </c>
      <c r="I4" s="287"/>
      <c r="J4" s="288"/>
      <c r="K4" s="286"/>
      <c r="L4" s="37"/>
      <c r="M4" s="37"/>
      <c r="N4" s="37"/>
      <c r="O4" s="37"/>
      <c r="P4" s="37"/>
      <c r="Q4" s="37"/>
      <c r="R4" s="37"/>
      <c r="S4" s="37"/>
      <c r="T4" s="37"/>
      <c r="U4" s="13"/>
      <c r="V4" s="13"/>
      <c r="W4" s="13"/>
      <c r="X4" s="13"/>
      <c r="Y4" s="13"/>
      <c r="Z4" s="13"/>
      <c r="AA4" s="13"/>
      <c r="AB4" s="13"/>
      <c r="AC4" s="37"/>
    </row>
    <row r="5" ht="19.5" customHeight="1">
      <c r="A5" s="284"/>
      <c r="B5" s="289" t="s">
        <v>5</v>
      </c>
      <c r="C5" s="289" t="s">
        <v>49</v>
      </c>
      <c r="D5" s="289" t="s">
        <v>50</v>
      </c>
      <c r="E5" s="289" t="s">
        <v>51</v>
      </c>
      <c r="F5" s="289" t="s">
        <v>52</v>
      </c>
      <c r="G5" s="289" t="s">
        <v>10</v>
      </c>
      <c r="H5" s="289" t="s">
        <v>11</v>
      </c>
      <c r="I5" s="289" t="s">
        <v>12</v>
      </c>
      <c r="J5" s="290" t="s">
        <v>13</v>
      </c>
      <c r="K5" s="291" t="s">
        <v>53</v>
      </c>
      <c r="L5" s="37"/>
      <c r="M5" s="37"/>
      <c r="N5" s="37"/>
      <c r="O5" s="37"/>
      <c r="P5" s="37"/>
      <c r="Q5" s="37"/>
      <c r="R5" s="37"/>
      <c r="S5" s="37"/>
      <c r="T5" s="37"/>
      <c r="U5" s="13"/>
      <c r="V5" s="13"/>
      <c r="W5" s="13"/>
      <c r="X5" s="13"/>
      <c r="Y5" s="13"/>
      <c r="Z5" s="13"/>
      <c r="AA5" s="13"/>
      <c r="AB5" s="13"/>
      <c r="AC5" s="37"/>
    </row>
    <row r="6" ht="19.5" customHeight="1">
      <c r="A6" s="154" t="s">
        <v>23</v>
      </c>
      <c r="B6" s="287">
        <f>0+2+2</f>
        <v>4</v>
      </c>
      <c r="C6" s="287">
        <f>0+3+2</f>
        <v>5</v>
      </c>
      <c r="D6" s="287">
        <f>0+3+2+1</f>
        <v>6</v>
      </c>
      <c r="E6" s="287">
        <f>0+2+2-1-1+1</f>
        <v>3</v>
      </c>
      <c r="F6" s="287">
        <f>0+3+2-1+1</f>
        <v>5</v>
      </c>
      <c r="G6" s="287">
        <f>0+2</f>
        <v>2</v>
      </c>
      <c r="H6" s="287">
        <f>0</f>
        <v>0</v>
      </c>
      <c r="I6" s="287">
        <f>0+2</f>
        <v>2</v>
      </c>
      <c r="J6" s="287">
        <f t="shared" ref="J6:J7" si="2">0</f>
        <v>0</v>
      </c>
      <c r="K6" s="292">
        <f t="shared" ref="K6:K7" si="3">SUM(B6:J6)</f>
        <v>27</v>
      </c>
      <c r="L6" s="37"/>
      <c r="M6" s="37"/>
      <c r="N6" s="37"/>
      <c r="O6" s="37"/>
      <c r="P6" s="37"/>
      <c r="Q6" s="37"/>
      <c r="R6" s="37"/>
      <c r="S6" s="37"/>
      <c r="T6" s="37"/>
      <c r="U6" s="13"/>
      <c r="V6" s="13"/>
      <c r="W6" s="13"/>
      <c r="X6" s="13"/>
      <c r="Y6" s="13"/>
      <c r="Z6" s="13"/>
      <c r="AA6" s="13"/>
      <c r="AB6" s="13"/>
      <c r="AC6" s="37"/>
    </row>
    <row r="7" ht="19.5" customHeight="1">
      <c r="A7" s="80" t="s">
        <v>28</v>
      </c>
      <c r="B7" s="287">
        <f>0+3+2</f>
        <v>5</v>
      </c>
      <c r="C7" s="287">
        <f>0+2+2+1+1</f>
        <v>6</v>
      </c>
      <c r="D7" s="287">
        <f>0+2+2+3+6</f>
        <v>13</v>
      </c>
      <c r="E7" s="287">
        <f>0+2+3+6-1+1</f>
        <v>11</v>
      </c>
      <c r="F7" s="287">
        <f>0+2-3+6+1</f>
        <v>6</v>
      </c>
      <c r="G7" s="287">
        <f>0+1+1+2+2</f>
        <v>6</v>
      </c>
      <c r="H7" s="287">
        <f t="shared" ref="H7:I7" si="1">0+2</f>
        <v>2</v>
      </c>
      <c r="I7" s="287">
        <f t="shared" si="1"/>
        <v>2</v>
      </c>
      <c r="J7" s="287">
        <f t="shared" si="2"/>
        <v>0</v>
      </c>
      <c r="K7" s="292">
        <f t="shared" si="3"/>
        <v>51</v>
      </c>
      <c r="L7" s="37"/>
      <c r="M7" s="37"/>
      <c r="N7" s="37"/>
      <c r="O7" s="37"/>
      <c r="P7" s="37"/>
      <c r="Q7" s="37"/>
      <c r="R7" s="37"/>
      <c r="S7" s="37"/>
      <c r="T7" s="37"/>
      <c r="U7" s="13"/>
      <c r="V7" s="13"/>
      <c r="W7" s="13"/>
      <c r="X7" s="13"/>
      <c r="Y7" s="13"/>
      <c r="Z7" s="13"/>
      <c r="AA7" s="13"/>
      <c r="AB7" s="13"/>
      <c r="AC7" s="37"/>
    </row>
    <row r="8" ht="19.5" customHeight="1">
      <c r="A8" s="8"/>
      <c r="B8" s="293"/>
      <c r="C8" s="293"/>
      <c r="D8" s="293"/>
      <c r="E8" s="293"/>
      <c r="F8" s="293"/>
      <c r="G8" s="293"/>
      <c r="H8" s="293"/>
      <c r="I8" s="293"/>
      <c r="J8" s="293"/>
      <c r="K8" s="294">
        <f>SUM(K6:K7)</f>
        <v>78</v>
      </c>
      <c r="L8" s="37"/>
      <c r="M8" s="37"/>
      <c r="N8" s="37"/>
      <c r="O8" s="37"/>
      <c r="P8" s="37"/>
      <c r="Q8" s="37"/>
      <c r="R8" s="37"/>
      <c r="S8" s="37"/>
      <c r="T8" s="37"/>
      <c r="U8" s="13"/>
      <c r="V8" s="13"/>
      <c r="W8" s="13"/>
      <c r="X8" s="13"/>
      <c r="Y8" s="13"/>
      <c r="Z8" s="13"/>
      <c r="AA8" s="13"/>
      <c r="AB8" s="13"/>
      <c r="AC8" s="37"/>
    </row>
    <row r="9" ht="19.5" customHeight="1">
      <c r="A9" s="37"/>
      <c r="B9" s="37"/>
      <c r="C9" s="37"/>
      <c r="D9" s="37"/>
      <c r="E9" s="37"/>
      <c r="F9" s="37"/>
      <c r="G9" s="37"/>
      <c r="H9" s="37"/>
      <c r="I9" s="37"/>
      <c r="J9" s="37"/>
      <c r="K9" s="281"/>
      <c r="L9" s="37"/>
      <c r="M9" s="37"/>
      <c r="N9" s="37"/>
      <c r="O9" s="37"/>
      <c r="P9" s="37"/>
      <c r="Q9" s="37"/>
      <c r="R9" s="37"/>
      <c r="S9" s="37"/>
      <c r="T9" s="37"/>
      <c r="U9" s="13"/>
      <c r="V9" s="13"/>
      <c r="W9" s="13"/>
      <c r="X9" s="13"/>
      <c r="Y9" s="13"/>
      <c r="Z9" s="13"/>
      <c r="AA9" s="13"/>
      <c r="AB9" s="13"/>
      <c r="AC9" s="37"/>
    </row>
    <row r="10" ht="19.5" customHeight="1">
      <c r="A10" s="283" t="s">
        <v>77</v>
      </c>
      <c r="B10" s="54"/>
      <c r="C10" s="54"/>
      <c r="D10" s="54"/>
      <c r="E10" s="54"/>
      <c r="F10" s="54"/>
      <c r="G10" s="54"/>
      <c r="H10" s="54"/>
      <c r="I10" s="54"/>
      <c r="J10" s="54"/>
      <c r="K10" s="70"/>
      <c r="L10" s="37"/>
      <c r="M10" s="37"/>
      <c r="N10" s="37"/>
      <c r="O10" s="37"/>
      <c r="P10" s="37"/>
      <c r="Q10" s="37"/>
      <c r="R10" s="37"/>
      <c r="S10" s="37"/>
      <c r="T10" s="37"/>
      <c r="U10" s="13"/>
      <c r="V10" s="13"/>
      <c r="W10" s="13"/>
      <c r="X10" s="13"/>
      <c r="Y10" s="13"/>
      <c r="Z10" s="13"/>
      <c r="AA10" s="13"/>
      <c r="AB10" s="13"/>
      <c r="AC10" s="37"/>
    </row>
    <row r="11" ht="19.5" customHeight="1">
      <c r="A11" s="284"/>
      <c r="B11" s="285" t="s">
        <v>136</v>
      </c>
      <c r="C11" s="54"/>
      <c r="D11" s="54"/>
      <c r="E11" s="54"/>
      <c r="F11" s="54"/>
      <c r="G11" s="54"/>
      <c r="H11" s="54"/>
      <c r="I11" s="54"/>
      <c r="J11" s="70"/>
      <c r="K11" s="286"/>
      <c r="L11" s="37"/>
      <c r="M11" s="37"/>
      <c r="N11" s="37"/>
      <c r="O11" s="37"/>
      <c r="P11" s="37"/>
      <c r="Q11" s="37"/>
      <c r="R11" s="37"/>
      <c r="S11" s="37"/>
      <c r="T11" s="37"/>
      <c r="U11" s="13"/>
      <c r="V11" s="13"/>
      <c r="W11" s="13"/>
      <c r="X11" s="13"/>
      <c r="Y11" s="13"/>
      <c r="Z11" s="13"/>
      <c r="AA11" s="13"/>
      <c r="AB11" s="13"/>
      <c r="AC11" s="37"/>
    </row>
    <row r="12" ht="19.5" customHeight="1">
      <c r="A12" s="284" t="s">
        <v>93</v>
      </c>
      <c r="B12" s="287">
        <v>28.0</v>
      </c>
      <c r="C12" s="287">
        <v>30.0</v>
      </c>
      <c r="D12" s="287">
        <v>32.0</v>
      </c>
      <c r="E12" s="287">
        <v>34.0</v>
      </c>
      <c r="F12" s="287">
        <v>36.0</v>
      </c>
      <c r="G12" s="287">
        <v>38.0</v>
      </c>
      <c r="H12" s="287">
        <v>40.0</v>
      </c>
      <c r="I12" s="287"/>
      <c r="J12" s="288"/>
      <c r="K12" s="286"/>
      <c r="L12" s="37"/>
      <c r="M12" s="37"/>
      <c r="N12" s="37"/>
      <c r="O12" s="37"/>
      <c r="P12" s="37"/>
      <c r="Q12" s="37"/>
      <c r="R12" s="37"/>
      <c r="S12" s="37"/>
      <c r="T12" s="37"/>
      <c r="U12" s="13"/>
      <c r="V12" s="13"/>
      <c r="W12" s="13"/>
      <c r="X12" s="13"/>
      <c r="Y12" s="13"/>
      <c r="Z12" s="13"/>
      <c r="AA12" s="13"/>
      <c r="AB12" s="13"/>
      <c r="AC12" s="37"/>
    </row>
    <row r="13" ht="19.5" customHeight="1">
      <c r="A13" s="284"/>
      <c r="B13" s="289" t="s">
        <v>5</v>
      </c>
      <c r="C13" s="289" t="s">
        <v>49</v>
      </c>
      <c r="D13" s="289" t="s">
        <v>50</v>
      </c>
      <c r="E13" s="289" t="s">
        <v>51</v>
      </c>
      <c r="F13" s="289" t="s">
        <v>52</v>
      </c>
      <c r="G13" s="289" t="s">
        <v>10</v>
      </c>
      <c r="H13" s="289" t="s">
        <v>11</v>
      </c>
      <c r="I13" s="289" t="s">
        <v>12</v>
      </c>
      <c r="J13" s="290" t="s">
        <v>13</v>
      </c>
      <c r="K13" s="291" t="s">
        <v>53</v>
      </c>
      <c r="L13" s="37"/>
      <c r="M13" s="37"/>
      <c r="N13" s="37"/>
      <c r="O13" s="37"/>
      <c r="P13" s="37"/>
      <c r="Q13" s="37"/>
      <c r="R13" s="37"/>
      <c r="S13" s="37"/>
      <c r="T13" s="37"/>
      <c r="U13" s="13"/>
      <c r="V13" s="13"/>
      <c r="W13" s="13"/>
      <c r="X13" s="13"/>
      <c r="Y13" s="13"/>
      <c r="Z13" s="13"/>
      <c r="AA13" s="13"/>
      <c r="AB13" s="13"/>
      <c r="AC13" s="37"/>
    </row>
    <row r="14" ht="19.5" customHeight="1">
      <c r="A14" s="154" t="s">
        <v>137</v>
      </c>
      <c r="B14" s="287">
        <f>0+2+2</f>
        <v>4</v>
      </c>
      <c r="C14" s="287">
        <f>0+1+2-1+1-1+1-1+1</f>
        <v>3</v>
      </c>
      <c r="D14" s="287">
        <f>0+1+1-1+2+1-2+2-4+4-1+1-1-2+1+2-1+1</f>
        <v>4</v>
      </c>
      <c r="E14" s="287">
        <f>0+2+1-3+2+3-2+2-5+1+5+1-1+2-2+2+1</f>
        <v>9</v>
      </c>
      <c r="F14" s="287">
        <f>0+1-1+2-1-1+1+1-1-1+1-1</f>
        <v>0</v>
      </c>
      <c r="G14" s="287">
        <f>0+1+2-1+1+2-1-1+1+1-1+1</f>
        <v>5</v>
      </c>
      <c r="H14" s="287">
        <f>0+3-2+2</f>
        <v>3</v>
      </c>
      <c r="I14" s="287">
        <f>0+1</f>
        <v>1</v>
      </c>
      <c r="J14" s="287">
        <f>0</f>
        <v>0</v>
      </c>
      <c r="K14" s="292">
        <f t="shared" ref="K14:K15" si="5">SUM(B14:J14)</f>
        <v>29</v>
      </c>
      <c r="L14" s="37"/>
      <c r="M14" s="37"/>
      <c r="N14" s="37"/>
      <c r="O14" s="37"/>
      <c r="P14" s="37"/>
      <c r="Q14" s="37"/>
      <c r="R14" s="37"/>
      <c r="S14" s="37"/>
      <c r="T14" s="37"/>
      <c r="U14" s="13"/>
      <c r="V14" s="13"/>
      <c r="W14" s="13"/>
      <c r="X14" s="13"/>
      <c r="Y14" s="13"/>
      <c r="Z14" s="13"/>
      <c r="AA14" s="13"/>
      <c r="AB14" s="13"/>
      <c r="AC14" s="37"/>
    </row>
    <row r="15" ht="19.5" customHeight="1">
      <c r="A15" s="80" t="s">
        <v>138</v>
      </c>
      <c r="B15" s="287">
        <f>0+1+2</f>
        <v>3</v>
      </c>
      <c r="C15" s="295">
        <f>0+3+2+1-1+1-1</f>
        <v>5</v>
      </c>
      <c r="D15" s="287">
        <f>0+4-1+1+1+2-1+1-1+1-6+6+1-1+1-1+1+1-1+1</f>
        <v>9</v>
      </c>
      <c r="E15" s="287">
        <f>0+1+2+4-1+1-3-4+3-1+1-1+1-1+1+1+1</f>
        <v>5</v>
      </c>
      <c r="F15" s="287">
        <f>0+2-2+2+2-1-1-1</f>
        <v>1</v>
      </c>
      <c r="G15" s="287">
        <f>0+2-2+2</f>
        <v>2</v>
      </c>
      <c r="H15" s="287">
        <f>0+1</f>
        <v>1</v>
      </c>
      <c r="I15" s="287">
        <f t="shared" ref="I15:J15" si="4">0</f>
        <v>0</v>
      </c>
      <c r="J15" s="287">
        <f t="shared" si="4"/>
        <v>0</v>
      </c>
      <c r="K15" s="292">
        <f t="shared" si="5"/>
        <v>26</v>
      </c>
      <c r="L15" s="37"/>
      <c r="M15" s="37"/>
      <c r="N15" s="37"/>
      <c r="O15" s="37"/>
      <c r="P15" s="37"/>
      <c r="Q15" s="37"/>
      <c r="R15" s="37"/>
      <c r="S15" s="37"/>
      <c r="T15" s="37"/>
      <c r="U15" s="13"/>
      <c r="V15" s="13"/>
      <c r="W15" s="13"/>
      <c r="X15" s="13"/>
      <c r="Y15" s="13"/>
      <c r="Z15" s="13"/>
      <c r="AA15" s="13"/>
      <c r="AB15" s="13"/>
      <c r="AC15" s="37"/>
    </row>
    <row r="16" ht="19.5" customHeight="1">
      <c r="A16" s="8"/>
      <c r="B16" s="293"/>
      <c r="C16" s="293"/>
      <c r="D16" s="293"/>
      <c r="E16" s="293"/>
      <c r="F16" s="293"/>
      <c r="G16" s="293"/>
      <c r="H16" s="293"/>
      <c r="I16" s="293"/>
      <c r="J16" s="293"/>
      <c r="K16" s="294">
        <f>SUM(K14:K15)</f>
        <v>55</v>
      </c>
      <c r="L16" s="37"/>
      <c r="M16" s="37"/>
      <c r="N16" s="37"/>
      <c r="O16" s="37"/>
      <c r="P16" s="37"/>
      <c r="Q16" s="37"/>
      <c r="R16" s="37"/>
      <c r="S16" s="37"/>
      <c r="T16" s="37"/>
      <c r="U16" s="13"/>
      <c r="V16" s="13"/>
      <c r="W16" s="13"/>
      <c r="X16" s="13"/>
      <c r="Y16" s="13"/>
      <c r="Z16" s="13"/>
      <c r="AA16" s="13"/>
      <c r="AB16" s="13"/>
      <c r="AC16" s="37"/>
    </row>
    <row r="17" ht="19.5" customHeight="1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281"/>
      <c r="L17" s="37"/>
      <c r="M17" s="37"/>
      <c r="N17" s="37"/>
      <c r="O17" s="37"/>
      <c r="P17" s="37"/>
      <c r="Q17" s="37"/>
      <c r="R17" s="37"/>
      <c r="S17" s="37"/>
      <c r="T17" s="37"/>
      <c r="U17" s="13"/>
      <c r="V17" s="13"/>
      <c r="W17" s="13"/>
      <c r="X17" s="13"/>
      <c r="Y17" s="13"/>
      <c r="Z17" s="13"/>
      <c r="AA17" s="13"/>
      <c r="AB17" s="13"/>
      <c r="AC17" s="37"/>
    </row>
    <row r="18" ht="19.5" customHeight="1">
      <c r="A18" s="283" t="s">
        <v>77</v>
      </c>
      <c r="B18" s="54"/>
      <c r="C18" s="54"/>
      <c r="D18" s="54"/>
      <c r="E18" s="54"/>
      <c r="F18" s="54"/>
      <c r="G18" s="54"/>
      <c r="H18" s="54"/>
      <c r="I18" s="54"/>
      <c r="J18" s="54"/>
      <c r="K18" s="70"/>
      <c r="L18" s="37"/>
      <c r="M18" s="37"/>
      <c r="N18" s="37"/>
      <c r="O18" s="37"/>
      <c r="P18" s="37"/>
      <c r="Q18" s="37"/>
      <c r="R18" s="37"/>
      <c r="S18" s="37"/>
      <c r="T18" s="37"/>
      <c r="U18" s="13"/>
      <c r="V18" s="13"/>
      <c r="W18" s="13"/>
      <c r="X18" s="13"/>
      <c r="Y18" s="13"/>
      <c r="Z18" s="13"/>
      <c r="AA18" s="13"/>
      <c r="AB18" s="13"/>
      <c r="AC18" s="37"/>
    </row>
    <row r="19" ht="19.5" customHeight="1">
      <c r="A19" s="284"/>
      <c r="B19" s="285" t="s">
        <v>139</v>
      </c>
      <c r="C19" s="54"/>
      <c r="D19" s="54"/>
      <c r="E19" s="54"/>
      <c r="F19" s="54"/>
      <c r="G19" s="54"/>
      <c r="H19" s="54"/>
      <c r="I19" s="54"/>
      <c r="J19" s="70"/>
      <c r="K19" s="286"/>
      <c r="L19" s="37"/>
      <c r="M19" s="37"/>
      <c r="N19" s="37"/>
      <c r="O19" s="37"/>
      <c r="P19" s="37"/>
      <c r="Q19" s="37"/>
      <c r="R19" s="37"/>
      <c r="S19" s="37"/>
      <c r="T19" s="37"/>
      <c r="U19" s="13"/>
      <c r="V19" s="13"/>
      <c r="W19" s="13"/>
      <c r="X19" s="13"/>
      <c r="Y19" s="13"/>
      <c r="Z19" s="13"/>
      <c r="AA19" s="13"/>
      <c r="AB19" s="13"/>
      <c r="AC19" s="37"/>
    </row>
    <row r="20" ht="19.5" customHeight="1">
      <c r="A20" s="284" t="s">
        <v>93</v>
      </c>
      <c r="B20" s="284"/>
      <c r="C20" s="287">
        <v>28.0</v>
      </c>
      <c r="D20" s="287">
        <v>30.0</v>
      </c>
      <c r="E20" s="287">
        <v>32.0</v>
      </c>
      <c r="F20" s="287">
        <v>34.0</v>
      </c>
      <c r="G20" s="287">
        <v>36.0</v>
      </c>
      <c r="H20" s="287">
        <v>38.0</v>
      </c>
      <c r="I20" s="287">
        <v>40.0</v>
      </c>
      <c r="J20" s="287"/>
      <c r="K20" s="288"/>
      <c r="L20" s="286"/>
      <c r="M20" s="37"/>
      <c r="N20" s="37"/>
      <c r="O20" s="37"/>
      <c r="P20" s="37"/>
      <c r="Q20" s="37"/>
      <c r="R20" s="37"/>
      <c r="S20" s="37"/>
      <c r="T20" s="37"/>
      <c r="U20" s="13"/>
      <c r="V20" s="13"/>
      <c r="W20" s="13"/>
      <c r="X20" s="13"/>
      <c r="Y20" s="13"/>
      <c r="Z20" s="13"/>
      <c r="AA20" s="13"/>
      <c r="AB20" s="13"/>
      <c r="AC20" s="37"/>
    </row>
    <row r="21" ht="19.5" customHeight="1">
      <c r="A21" s="284"/>
      <c r="B21" s="289" t="s">
        <v>140</v>
      </c>
      <c r="C21" s="289" t="s">
        <v>5</v>
      </c>
      <c r="D21" s="289" t="s">
        <v>49</v>
      </c>
      <c r="E21" s="289" t="s">
        <v>50</v>
      </c>
      <c r="F21" s="289" t="s">
        <v>51</v>
      </c>
      <c r="G21" s="289" t="s">
        <v>52</v>
      </c>
      <c r="H21" s="289" t="s">
        <v>10</v>
      </c>
      <c r="I21" s="289" t="s">
        <v>11</v>
      </c>
      <c r="J21" s="289" t="s">
        <v>12</v>
      </c>
      <c r="K21" s="290" t="s">
        <v>13</v>
      </c>
      <c r="L21" s="291" t="s">
        <v>53</v>
      </c>
      <c r="M21" s="37"/>
      <c r="N21" s="37"/>
      <c r="O21" s="37"/>
      <c r="P21" s="37"/>
      <c r="Q21" s="37"/>
      <c r="R21" s="37"/>
      <c r="S21" s="37"/>
      <c r="T21" s="37"/>
      <c r="U21" s="13"/>
      <c r="V21" s="13"/>
      <c r="W21" s="13"/>
      <c r="X21" s="13"/>
      <c r="Y21" s="13"/>
      <c r="Z21" s="13"/>
      <c r="AA21" s="13"/>
      <c r="AB21" s="13"/>
      <c r="AC21" s="37"/>
    </row>
    <row r="22" ht="19.5" customHeight="1">
      <c r="A22" s="154" t="s">
        <v>137</v>
      </c>
      <c r="B22" s="296">
        <f t="shared" ref="B22:B23" si="6">0+3</f>
        <v>3</v>
      </c>
      <c r="C22" s="296">
        <f>0+2+3</f>
        <v>5</v>
      </c>
      <c r="D22" s="296">
        <f>0+2+3-2+2-5+5+1-3+3</f>
        <v>6</v>
      </c>
      <c r="E22" s="296">
        <f>0+3-1-2+2+1-3+3+1+2+1-1-2+1+2-3+2</f>
        <v>6</v>
      </c>
      <c r="F22" s="296">
        <f>0+1-1+3+1-4+4+1-4+4+1-1-5+5-1+1-1+1+1+1-1-1+1+1+1-2-1+3+1</f>
        <v>9</v>
      </c>
      <c r="G22" s="296">
        <f>0+1+3-1-3+3+1-1-1+1-1-1+1-2+2</f>
        <v>2</v>
      </c>
      <c r="H22" s="296">
        <f>0+1-1+1</f>
        <v>1</v>
      </c>
      <c r="I22" s="287">
        <f>0</f>
        <v>0</v>
      </c>
      <c r="J22" s="287">
        <f>0+1</f>
        <v>1</v>
      </c>
      <c r="K22" s="287">
        <f t="shared" ref="K22:K23" si="7">0</f>
        <v>0</v>
      </c>
      <c r="L22" s="292">
        <f t="shared" ref="L22:L23" si="8">SUM(C22:K22)</f>
        <v>30</v>
      </c>
      <c r="M22" s="37"/>
      <c r="N22" s="37"/>
      <c r="O22" s="37"/>
      <c r="P22" s="37"/>
      <c r="Q22" s="37"/>
      <c r="R22" s="37"/>
      <c r="S22" s="37"/>
      <c r="T22" s="37"/>
      <c r="U22" s="13"/>
      <c r="V22" s="13"/>
      <c r="W22" s="13"/>
      <c r="X22" s="13"/>
      <c r="Y22" s="13"/>
      <c r="Z22" s="13"/>
      <c r="AA22" s="13"/>
      <c r="AB22" s="13"/>
      <c r="AC22" s="37"/>
    </row>
    <row r="23" ht="19.5" customHeight="1">
      <c r="A23" s="80" t="s">
        <v>138</v>
      </c>
      <c r="B23" s="296">
        <f t="shared" si="6"/>
        <v>3</v>
      </c>
      <c r="C23" s="296">
        <f>0+3</f>
        <v>3</v>
      </c>
      <c r="D23" s="296">
        <f>0+1+3-1+1-1+1</f>
        <v>4</v>
      </c>
      <c r="E23" s="296">
        <f>0+1+3-1+1+1-1-1+1+1-3-1+3+1-1+1-1+1</f>
        <v>5</v>
      </c>
      <c r="F23" s="296">
        <f>0+3+2-1+1+1-1+1-3-2+2+3</f>
        <v>6</v>
      </c>
      <c r="G23" s="297">
        <f>0+1+3-1+1-2+2</f>
        <v>4</v>
      </c>
      <c r="H23" s="296">
        <f>0+1+1-2+2</f>
        <v>2</v>
      </c>
      <c r="I23" s="287">
        <f>0+1-1+1+1-1+1</f>
        <v>2</v>
      </c>
      <c r="J23" s="287">
        <f>0+1-1+1</f>
        <v>1</v>
      </c>
      <c r="K23" s="287">
        <f t="shared" si="7"/>
        <v>0</v>
      </c>
      <c r="L23" s="292">
        <f t="shared" si="8"/>
        <v>27</v>
      </c>
      <c r="M23" s="37"/>
      <c r="N23" s="37"/>
      <c r="O23" s="37"/>
      <c r="P23" s="37"/>
      <c r="Q23" s="37"/>
      <c r="R23" s="37"/>
      <c r="S23" s="37"/>
      <c r="T23" s="37"/>
      <c r="U23" s="13"/>
      <c r="V23" s="13"/>
      <c r="W23" s="13"/>
      <c r="X23" s="13"/>
      <c r="Y23" s="13"/>
      <c r="Z23" s="13"/>
      <c r="AA23" s="13"/>
      <c r="AB23" s="13"/>
      <c r="AC23" s="37"/>
    </row>
    <row r="24" ht="19.5" customHeight="1">
      <c r="A24" s="8"/>
      <c r="B24" s="293"/>
      <c r="C24" s="293"/>
      <c r="D24" s="293"/>
      <c r="E24" s="293"/>
      <c r="F24" s="298"/>
      <c r="G24" s="293"/>
      <c r="H24" s="293"/>
      <c r="I24" s="293"/>
      <c r="J24" s="293"/>
      <c r="L24" s="294">
        <f>SUM(L22:L23)</f>
        <v>57</v>
      </c>
      <c r="M24" s="37"/>
      <c r="N24" s="37"/>
      <c r="O24" s="37"/>
      <c r="P24" s="37"/>
      <c r="Q24" s="37"/>
      <c r="R24" s="37"/>
      <c r="S24" s="37"/>
      <c r="T24" s="37"/>
      <c r="U24" s="13"/>
      <c r="V24" s="13"/>
      <c r="W24" s="13"/>
      <c r="X24" s="13"/>
      <c r="Y24" s="13"/>
      <c r="Z24" s="13"/>
      <c r="AA24" s="13"/>
      <c r="AB24" s="13"/>
      <c r="AC24" s="37"/>
    </row>
    <row r="25" ht="19.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281"/>
      <c r="L25" s="37"/>
      <c r="M25" s="37"/>
      <c r="N25" s="37"/>
      <c r="O25" s="37"/>
      <c r="P25" s="37"/>
      <c r="Q25" s="37"/>
      <c r="R25" s="37"/>
      <c r="S25" s="37"/>
      <c r="T25" s="37"/>
      <c r="U25" s="13"/>
      <c r="V25" s="13"/>
      <c r="W25" s="13"/>
      <c r="X25" s="13"/>
      <c r="Y25" s="13"/>
      <c r="Z25" s="13"/>
      <c r="AA25" s="13"/>
      <c r="AB25" s="13"/>
      <c r="AC25" s="37"/>
    </row>
    <row r="26" ht="19.5" customHeight="1">
      <c r="A26" s="283" t="s">
        <v>77</v>
      </c>
      <c r="B26" s="54"/>
      <c r="C26" s="54"/>
      <c r="D26" s="54"/>
      <c r="E26" s="54"/>
      <c r="F26" s="54"/>
      <c r="G26" s="54"/>
      <c r="H26" s="54"/>
      <c r="I26" s="54"/>
      <c r="J26" s="54"/>
      <c r="K26" s="70"/>
      <c r="L26" s="37"/>
      <c r="M26" s="37"/>
      <c r="N26" s="37"/>
      <c r="O26" s="37"/>
      <c r="P26" s="37"/>
      <c r="Q26" s="37"/>
      <c r="R26" s="37"/>
      <c r="S26" s="37"/>
      <c r="T26" s="37"/>
      <c r="U26" s="13"/>
      <c r="V26" s="13"/>
      <c r="W26" s="13"/>
      <c r="X26" s="13"/>
      <c r="Y26" s="13"/>
      <c r="Z26" s="13"/>
      <c r="AA26" s="13"/>
      <c r="AB26" s="13"/>
      <c r="AC26" s="37"/>
    </row>
    <row r="27" ht="19.5" customHeight="1">
      <c r="A27" s="284"/>
      <c r="B27" s="285" t="s">
        <v>141</v>
      </c>
      <c r="C27" s="54"/>
      <c r="D27" s="54"/>
      <c r="E27" s="54"/>
      <c r="F27" s="54"/>
      <c r="G27" s="54"/>
      <c r="H27" s="54"/>
      <c r="I27" s="54"/>
      <c r="J27" s="70"/>
      <c r="K27" s="286"/>
      <c r="L27" s="37"/>
      <c r="M27" s="37"/>
      <c r="N27" s="37"/>
      <c r="O27" s="37"/>
      <c r="P27" s="37"/>
      <c r="Q27" s="37"/>
      <c r="R27" s="37"/>
      <c r="S27" s="37"/>
      <c r="T27" s="37"/>
      <c r="U27" s="13"/>
      <c r="V27" s="13"/>
      <c r="W27" s="13"/>
      <c r="X27" s="13"/>
      <c r="Y27" s="13"/>
      <c r="Z27" s="13"/>
      <c r="AA27" s="13"/>
      <c r="AB27" s="13"/>
      <c r="AC27" s="37"/>
    </row>
    <row r="28" ht="19.5" customHeight="1">
      <c r="A28" s="284" t="s">
        <v>93</v>
      </c>
      <c r="B28" s="284"/>
      <c r="C28" s="287">
        <v>28.0</v>
      </c>
      <c r="D28" s="287">
        <v>30.0</v>
      </c>
      <c r="E28" s="287">
        <v>32.0</v>
      </c>
      <c r="F28" s="287">
        <v>34.0</v>
      </c>
      <c r="G28" s="287">
        <v>36.0</v>
      </c>
      <c r="H28" s="287">
        <v>38.0</v>
      </c>
      <c r="I28" s="287">
        <v>40.0</v>
      </c>
      <c r="J28" s="287"/>
      <c r="K28" s="288"/>
      <c r="L28" s="286"/>
      <c r="M28" s="37"/>
      <c r="N28" s="37"/>
      <c r="O28" s="37"/>
      <c r="P28" s="37"/>
      <c r="Q28" s="37"/>
      <c r="R28" s="37"/>
      <c r="S28" s="37"/>
      <c r="T28" s="37"/>
      <c r="U28" s="13"/>
      <c r="V28" s="13"/>
      <c r="W28" s="13"/>
      <c r="X28" s="13"/>
      <c r="Y28" s="13"/>
      <c r="Z28" s="13"/>
      <c r="AA28" s="13"/>
      <c r="AB28" s="13"/>
      <c r="AC28" s="37"/>
    </row>
    <row r="29" ht="19.5" customHeight="1">
      <c r="A29" s="284"/>
      <c r="B29" s="289" t="s">
        <v>140</v>
      </c>
      <c r="C29" s="289" t="s">
        <v>5</v>
      </c>
      <c r="D29" s="289" t="s">
        <v>49</v>
      </c>
      <c r="E29" s="289" t="s">
        <v>50</v>
      </c>
      <c r="F29" s="289" t="s">
        <v>51</v>
      </c>
      <c r="G29" s="289" t="s">
        <v>52</v>
      </c>
      <c r="H29" s="289" t="s">
        <v>10</v>
      </c>
      <c r="I29" s="289" t="s">
        <v>11</v>
      </c>
      <c r="J29" s="289" t="s">
        <v>12</v>
      </c>
      <c r="K29" s="290" t="s">
        <v>13</v>
      </c>
      <c r="L29" s="291" t="s">
        <v>53</v>
      </c>
      <c r="M29" s="37"/>
      <c r="N29" s="37"/>
      <c r="O29" s="37"/>
      <c r="P29" s="37"/>
      <c r="Q29" s="37"/>
      <c r="R29" s="37"/>
      <c r="S29" s="37"/>
      <c r="T29" s="37"/>
      <c r="U29" s="13"/>
      <c r="V29" s="13"/>
      <c r="W29" s="13"/>
      <c r="X29" s="13"/>
      <c r="Y29" s="13"/>
      <c r="Z29" s="13"/>
      <c r="AA29" s="13"/>
      <c r="AB29" s="13"/>
      <c r="AC29" s="37"/>
    </row>
    <row r="30" ht="19.5" customHeight="1">
      <c r="A30" s="154" t="s">
        <v>23</v>
      </c>
      <c r="B30" s="299">
        <f t="shared" ref="B30:B31" si="10">3</f>
        <v>3</v>
      </c>
      <c r="C30" s="296">
        <f>0+1+3-1</f>
        <v>3</v>
      </c>
      <c r="D30" s="296">
        <f>0+1+3-1-1</f>
        <v>2</v>
      </c>
      <c r="E30" s="296">
        <f>0+1+3-1-1+1-1+1+1</f>
        <v>4</v>
      </c>
      <c r="F30" s="287">
        <f>0+3-1-1</f>
        <v>1</v>
      </c>
      <c r="G30" s="296">
        <f>0+1+3</f>
        <v>4</v>
      </c>
      <c r="H30" s="287">
        <f t="shared" ref="H30:J30" si="9">0+1</f>
        <v>1</v>
      </c>
      <c r="I30" s="287">
        <f t="shared" si="9"/>
        <v>1</v>
      </c>
      <c r="J30" s="287">
        <f t="shared" si="9"/>
        <v>1</v>
      </c>
      <c r="K30" s="287">
        <f t="shared" ref="K30:K31" si="11">0</f>
        <v>0</v>
      </c>
      <c r="L30" s="292">
        <f t="shared" ref="L30:L31" si="12">SUM(C30:K30)</f>
        <v>17</v>
      </c>
      <c r="M30" s="37"/>
      <c r="N30" s="37"/>
      <c r="O30" s="37"/>
      <c r="P30" s="37"/>
      <c r="Q30" s="37"/>
      <c r="R30" s="37"/>
      <c r="S30" s="37"/>
      <c r="T30" s="37"/>
      <c r="U30" s="13"/>
      <c r="V30" s="13"/>
      <c r="W30" s="13"/>
      <c r="X30" s="13"/>
      <c r="Y30" s="13"/>
      <c r="Z30" s="13"/>
      <c r="AA30" s="13"/>
      <c r="AB30" s="13"/>
      <c r="AC30" s="37"/>
    </row>
    <row r="31" ht="19.5" customHeight="1">
      <c r="A31" s="80" t="s">
        <v>28</v>
      </c>
      <c r="B31" s="296">
        <f t="shared" si="10"/>
        <v>3</v>
      </c>
      <c r="C31" s="287">
        <f>0+3-1</f>
        <v>2</v>
      </c>
      <c r="D31" s="296">
        <f>0+2+3-1+1-1+1</f>
        <v>5</v>
      </c>
      <c r="E31" s="287">
        <f>0+3-1-1</f>
        <v>1</v>
      </c>
      <c r="F31" s="287">
        <f>0+3-1</f>
        <v>2</v>
      </c>
      <c r="G31" s="296">
        <f>0+1+3-1+1+1-1</f>
        <v>4</v>
      </c>
      <c r="H31" s="287">
        <f>0+1</f>
        <v>1</v>
      </c>
      <c r="I31" s="287">
        <f>0+1+1</f>
        <v>2</v>
      </c>
      <c r="J31" s="287">
        <f>0+1</f>
        <v>1</v>
      </c>
      <c r="K31" s="287">
        <f t="shared" si="11"/>
        <v>0</v>
      </c>
      <c r="L31" s="292">
        <f t="shared" si="12"/>
        <v>18</v>
      </c>
      <c r="M31" s="37"/>
      <c r="N31" s="37"/>
      <c r="O31" s="37"/>
      <c r="P31" s="37"/>
      <c r="Q31" s="37"/>
      <c r="R31" s="37"/>
      <c r="S31" s="37"/>
      <c r="T31" s="37"/>
      <c r="U31" s="13"/>
      <c r="V31" s="13"/>
      <c r="W31" s="13"/>
      <c r="X31" s="13"/>
      <c r="Y31" s="13"/>
      <c r="Z31" s="13"/>
      <c r="AA31" s="13"/>
      <c r="AB31" s="13"/>
      <c r="AC31" s="37"/>
    </row>
    <row r="32" ht="19.5" customHeight="1">
      <c r="A32" s="8"/>
      <c r="B32" s="293"/>
      <c r="C32" s="293"/>
      <c r="D32" s="293"/>
      <c r="E32" s="293"/>
      <c r="F32" s="293"/>
      <c r="G32" s="293"/>
      <c r="H32" s="293"/>
      <c r="I32" s="293"/>
      <c r="J32" s="293"/>
      <c r="L32" s="294">
        <f>SUM(L30:L31)</f>
        <v>35</v>
      </c>
      <c r="M32" s="37"/>
      <c r="N32" s="37"/>
      <c r="O32" s="37"/>
      <c r="P32" s="37"/>
      <c r="Q32" s="37"/>
      <c r="R32" s="37"/>
      <c r="S32" s="37"/>
      <c r="T32" s="37"/>
      <c r="U32" s="13"/>
      <c r="V32" s="13"/>
      <c r="W32" s="13"/>
      <c r="X32" s="13"/>
      <c r="Y32" s="13"/>
      <c r="Z32" s="13"/>
      <c r="AA32" s="13"/>
      <c r="AB32" s="13"/>
      <c r="AC32" s="37"/>
    </row>
    <row r="33" ht="19.5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00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ht="19.5" customHeight="1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281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</row>
    <row r="35" ht="19.5" customHeight="1">
      <c r="A35" s="283" t="s">
        <v>77</v>
      </c>
      <c r="B35" s="54"/>
      <c r="C35" s="54"/>
      <c r="D35" s="54"/>
      <c r="E35" s="54"/>
      <c r="F35" s="54"/>
      <c r="G35" s="54"/>
      <c r="H35" s="54"/>
      <c r="I35" s="54"/>
      <c r="J35" s="54"/>
      <c r="K35" s="70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ht="19.5" customHeight="1">
      <c r="A36" s="284"/>
      <c r="B36" s="285" t="s">
        <v>142</v>
      </c>
      <c r="C36" s="54"/>
      <c r="D36" s="54"/>
      <c r="E36" s="54"/>
      <c r="F36" s="54"/>
      <c r="G36" s="54"/>
      <c r="H36" s="54"/>
      <c r="I36" s="54"/>
      <c r="J36" s="70"/>
      <c r="K36" s="286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ht="19.5" customHeight="1">
      <c r="A37" s="284" t="s">
        <v>93</v>
      </c>
      <c r="B37" s="287">
        <v>28.0</v>
      </c>
      <c r="C37" s="287">
        <v>30.0</v>
      </c>
      <c r="D37" s="287">
        <v>32.0</v>
      </c>
      <c r="E37" s="287">
        <v>34.0</v>
      </c>
      <c r="F37" s="287">
        <v>36.0</v>
      </c>
      <c r="G37" s="287">
        <v>38.0</v>
      </c>
      <c r="H37" s="287">
        <v>40.0</v>
      </c>
      <c r="I37" s="287"/>
      <c r="J37" s="288"/>
      <c r="K37" s="286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ht="19.5" customHeight="1">
      <c r="A38" s="284"/>
      <c r="B38" s="289" t="s">
        <v>5</v>
      </c>
      <c r="C38" s="289" t="s">
        <v>49</v>
      </c>
      <c r="D38" s="289" t="s">
        <v>50</v>
      </c>
      <c r="E38" s="289" t="s">
        <v>51</v>
      </c>
      <c r="F38" s="289" t="s">
        <v>52</v>
      </c>
      <c r="G38" s="289" t="s">
        <v>10</v>
      </c>
      <c r="H38" s="289" t="s">
        <v>11</v>
      </c>
      <c r="I38" s="289" t="s">
        <v>12</v>
      </c>
      <c r="J38" s="290" t="s">
        <v>13</v>
      </c>
      <c r="K38" s="291" t="s">
        <v>53</v>
      </c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</row>
    <row r="39" ht="19.5" customHeight="1">
      <c r="A39" s="154" t="s">
        <v>23</v>
      </c>
      <c r="B39" s="296">
        <f>0+1+3+1-1+1</f>
        <v>5</v>
      </c>
      <c r="C39" s="296">
        <f>0+3-3+3-1+1</f>
        <v>3</v>
      </c>
      <c r="D39" s="296">
        <f>0+2-2+2-1+1-1+1-2+2</f>
        <v>2</v>
      </c>
      <c r="E39" s="287">
        <f>0+4-2-2+2+1-1+1+1+1-1+1-1+1-2+2</f>
        <v>5</v>
      </c>
      <c r="F39" s="287">
        <f>0+1+3-2-1-1+1-1+1</f>
        <v>1</v>
      </c>
      <c r="G39" s="287">
        <f>0+1+1-1+1-1+1-1+1</f>
        <v>2</v>
      </c>
      <c r="H39" s="287">
        <f>0+1-1+1-1+1</f>
        <v>1</v>
      </c>
      <c r="I39" s="287">
        <f>0+1</f>
        <v>1</v>
      </c>
      <c r="J39" s="287">
        <f t="shared" ref="J39:J41" si="13">0</f>
        <v>0</v>
      </c>
      <c r="K39" s="292">
        <f t="shared" ref="K39:K41" si="14">SUM(B39:J39)</f>
        <v>20</v>
      </c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</row>
    <row r="40" ht="19.5" customHeight="1">
      <c r="A40" s="154" t="s">
        <v>14</v>
      </c>
      <c r="B40" s="287">
        <f>0</f>
        <v>0</v>
      </c>
      <c r="C40" s="296">
        <f>0+3-1+1</f>
        <v>3</v>
      </c>
      <c r="D40" s="296">
        <f>0+3-1+3+1-4+2+1-1+1-1+1-1+1-1-4+4</f>
        <v>4</v>
      </c>
      <c r="E40" s="296">
        <f>0+2+3+6-1-4-1+1-1+1+1-1-1+1+1+1-2+2</f>
        <v>8</v>
      </c>
      <c r="F40" s="296">
        <f>0+1+3-1-1+1-1+1-1+1-1+1</f>
        <v>3</v>
      </c>
      <c r="G40" s="287">
        <f>0+1-1+1-1+1</f>
        <v>1</v>
      </c>
      <c r="H40" s="287">
        <f>0+1-1+1</f>
        <v>1</v>
      </c>
      <c r="I40" s="287">
        <f>0+1-1+1-1+1</f>
        <v>1</v>
      </c>
      <c r="J40" s="287">
        <f t="shared" si="13"/>
        <v>0</v>
      </c>
      <c r="K40" s="292">
        <f t="shared" si="14"/>
        <v>21</v>
      </c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</row>
    <row r="41" ht="19.5" customHeight="1">
      <c r="A41" s="80" t="s">
        <v>28</v>
      </c>
      <c r="B41" s="296">
        <f>0+3-1+1</f>
        <v>3</v>
      </c>
      <c r="C41" s="296">
        <f>0+1+3-1+1</f>
        <v>4</v>
      </c>
      <c r="D41" s="296">
        <f>0+3-1+1+1-1+1</f>
        <v>4</v>
      </c>
      <c r="E41" s="296">
        <f>0+1-1+1+3-1-1-1+1+1+1-1+1</f>
        <v>4</v>
      </c>
      <c r="F41" s="287">
        <f>0+3-1+1-1-1-1+1-1+2</f>
        <v>2</v>
      </c>
      <c r="G41" s="287">
        <f t="shared" ref="G41:I41" si="15">0+1</f>
        <v>1</v>
      </c>
      <c r="H41" s="287">
        <f t="shared" si="15"/>
        <v>1</v>
      </c>
      <c r="I41" s="287">
        <f t="shared" si="15"/>
        <v>1</v>
      </c>
      <c r="J41" s="287">
        <f t="shared" si="13"/>
        <v>0</v>
      </c>
      <c r="K41" s="292">
        <f t="shared" si="14"/>
        <v>20</v>
      </c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</row>
    <row r="42" ht="19.5" customHeight="1">
      <c r="A42" s="8"/>
      <c r="B42" s="293"/>
      <c r="C42" s="293"/>
      <c r="D42" s="293"/>
      <c r="E42" s="293"/>
      <c r="F42" s="293"/>
      <c r="G42" s="293"/>
      <c r="H42" s="293"/>
      <c r="I42" s="293"/>
      <c r="J42" s="293"/>
      <c r="K42" s="294">
        <f>SUM(K39:K41)</f>
        <v>61</v>
      </c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</row>
    <row r="43" ht="19.5" customHeight="1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281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</row>
    <row r="44" ht="19.5" customHeight="1">
      <c r="A44" s="283" t="s">
        <v>143</v>
      </c>
      <c r="B44" s="54"/>
      <c r="C44" s="54"/>
      <c r="D44" s="54"/>
      <c r="E44" s="54"/>
      <c r="F44" s="54"/>
      <c r="G44" s="54"/>
      <c r="H44" s="54"/>
      <c r="I44" s="54"/>
      <c r="J44" s="54"/>
      <c r="K44" s="70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ht="22.5" customHeight="1">
      <c r="A45" s="284" t="s">
        <v>144</v>
      </c>
      <c r="B45" s="289" t="s">
        <v>5</v>
      </c>
      <c r="C45" s="289" t="s">
        <v>49</v>
      </c>
      <c r="D45" s="289" t="s">
        <v>50</v>
      </c>
      <c r="E45" s="289" t="s">
        <v>51</v>
      </c>
      <c r="F45" s="289" t="s">
        <v>52</v>
      </c>
      <c r="G45" s="289" t="s">
        <v>10</v>
      </c>
      <c r="H45" s="289" t="s">
        <v>11</v>
      </c>
      <c r="I45" s="289" t="s">
        <v>12</v>
      </c>
      <c r="J45" s="290" t="s">
        <v>13</v>
      </c>
      <c r="K45" s="291" t="s">
        <v>53</v>
      </c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</row>
    <row r="46" ht="19.5" customHeight="1">
      <c r="A46" s="284" t="s">
        <v>18</v>
      </c>
      <c r="B46" s="287">
        <f>0+1+1-1</f>
        <v>1</v>
      </c>
      <c r="C46" s="287">
        <f>0+1+1-1+1</f>
        <v>2</v>
      </c>
      <c r="D46" s="287">
        <f>0+1-1</f>
        <v>0</v>
      </c>
      <c r="E46" s="287">
        <f>0+1</f>
        <v>1</v>
      </c>
      <c r="F46" s="287">
        <f>0+1-1</f>
        <v>0</v>
      </c>
      <c r="G46" s="287">
        <f>0+1-1+1</f>
        <v>1</v>
      </c>
      <c r="H46" s="287">
        <f t="shared" ref="H46:J46" si="16">0+1</f>
        <v>1</v>
      </c>
      <c r="I46" s="287">
        <f t="shared" si="16"/>
        <v>1</v>
      </c>
      <c r="J46" s="287">
        <f t="shared" si="16"/>
        <v>1</v>
      </c>
      <c r="K46" s="287">
        <f t="shared" ref="K46:K50" si="19">SUM(B46:J46)</f>
        <v>8</v>
      </c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</row>
    <row r="47" ht="19.5" customHeight="1">
      <c r="A47" s="284" t="s">
        <v>43</v>
      </c>
      <c r="B47" s="287">
        <f>0+2-1</f>
        <v>1</v>
      </c>
      <c r="C47" s="287">
        <f>0+1+2-1</f>
        <v>2</v>
      </c>
      <c r="D47" s="287">
        <f t="shared" ref="D47:F47" si="17">0+2</f>
        <v>2</v>
      </c>
      <c r="E47" s="287">
        <f t="shared" si="17"/>
        <v>2</v>
      </c>
      <c r="F47" s="287">
        <f t="shared" si="17"/>
        <v>2</v>
      </c>
      <c r="G47" s="287">
        <f>0+2-1+1-1+1</f>
        <v>2</v>
      </c>
      <c r="H47" s="287">
        <f t="shared" ref="H47:J47" si="18">0+2</f>
        <v>2</v>
      </c>
      <c r="I47" s="287">
        <f t="shared" si="18"/>
        <v>2</v>
      </c>
      <c r="J47" s="287">
        <f t="shared" si="18"/>
        <v>2</v>
      </c>
      <c r="K47" s="287">
        <f t="shared" si="19"/>
        <v>17</v>
      </c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</row>
    <row r="48" ht="19.5" customHeight="1">
      <c r="A48" s="154" t="s">
        <v>81</v>
      </c>
      <c r="B48" s="287">
        <f>0+1+1</f>
        <v>2</v>
      </c>
      <c r="C48" s="287">
        <f>0+2+1-1+1-1</f>
        <v>2</v>
      </c>
      <c r="D48" s="287">
        <f>0+3+1</f>
        <v>4</v>
      </c>
      <c r="E48" s="287">
        <f t="shared" ref="E48:J48" si="20">0+1</f>
        <v>1</v>
      </c>
      <c r="F48" s="287">
        <f t="shared" si="20"/>
        <v>1</v>
      </c>
      <c r="G48" s="287">
        <f t="shared" si="20"/>
        <v>1</v>
      </c>
      <c r="H48" s="287">
        <f t="shared" si="20"/>
        <v>1</v>
      </c>
      <c r="I48" s="287">
        <f t="shared" si="20"/>
        <v>1</v>
      </c>
      <c r="J48" s="287">
        <f t="shared" si="20"/>
        <v>1</v>
      </c>
      <c r="K48" s="287">
        <f t="shared" si="19"/>
        <v>14</v>
      </c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</row>
    <row r="49" ht="19.5" customHeight="1">
      <c r="A49" s="80" t="s">
        <v>14</v>
      </c>
      <c r="B49" s="287">
        <f>0+1+1+2-4+4-4</f>
        <v>0</v>
      </c>
      <c r="C49" s="287">
        <f>0+1+2-1+1-3+3-3</f>
        <v>0</v>
      </c>
      <c r="D49" s="287">
        <f>0+1-1+2+1-1+1-3+3-3</f>
        <v>0</v>
      </c>
      <c r="E49" s="287">
        <f>0+1+2-1+1-1+1-3</f>
        <v>0</v>
      </c>
      <c r="F49" s="287">
        <f>0+2-1+1-2+1-1</f>
        <v>0</v>
      </c>
      <c r="G49" s="287">
        <f t="shared" ref="G49:H49" si="21">0+2-1-1</f>
        <v>0</v>
      </c>
      <c r="H49" s="287">
        <f t="shared" si="21"/>
        <v>0</v>
      </c>
      <c r="I49" s="287">
        <f t="shared" ref="I49:J49" si="22">0+2-2</f>
        <v>0</v>
      </c>
      <c r="J49" s="287">
        <f t="shared" si="22"/>
        <v>0</v>
      </c>
      <c r="K49" s="287">
        <f t="shared" si="19"/>
        <v>0</v>
      </c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</row>
    <row r="50" ht="19.5" customHeight="1">
      <c r="A50" s="80" t="s">
        <v>15</v>
      </c>
      <c r="B50" s="287">
        <f>0+2-1+1+1-1</f>
        <v>2</v>
      </c>
      <c r="C50" s="287">
        <f>0+2-1+1-1+1+1</f>
        <v>3</v>
      </c>
      <c r="D50" s="287">
        <f>0+1+2-1+1-3+1</f>
        <v>1</v>
      </c>
      <c r="E50" s="287">
        <f>0+1+2-1+1-1-1-1+1-1+1+1+1-1+1+1</f>
        <v>4</v>
      </c>
      <c r="F50" s="287">
        <f>0+2-1+1-1+1-1-1+1+2</f>
        <v>3</v>
      </c>
      <c r="G50" s="287">
        <f>0+1-1+1-1+1-1+1-1+1</f>
        <v>1</v>
      </c>
      <c r="H50" s="287">
        <f>0+2-1+1+1</f>
        <v>3</v>
      </c>
      <c r="I50" s="287">
        <f>0+1-1+1+1</f>
        <v>2</v>
      </c>
      <c r="J50" s="287">
        <f>0+3-1+1+1</f>
        <v>4</v>
      </c>
      <c r="K50" s="287">
        <f t="shared" si="19"/>
        <v>23</v>
      </c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</row>
    <row r="51" ht="19.5" customHeight="1">
      <c r="A51" s="80" t="s">
        <v>17</v>
      </c>
      <c r="B51" s="287">
        <f>0+2</f>
        <v>2</v>
      </c>
      <c r="C51" s="287">
        <f>0+2-1+1</f>
        <v>2</v>
      </c>
      <c r="D51" s="287">
        <f>0+1+2-1+1</f>
        <v>3</v>
      </c>
      <c r="E51" s="287">
        <f>0+2+1+1-1-1+1</f>
        <v>3</v>
      </c>
      <c r="F51" s="287">
        <f>0+2-1</f>
        <v>1</v>
      </c>
      <c r="G51" s="287">
        <f>0+2</f>
        <v>2</v>
      </c>
      <c r="H51" s="287">
        <f>0+1</f>
        <v>1</v>
      </c>
      <c r="I51" s="287">
        <f>0+2-1</f>
        <v>1</v>
      </c>
      <c r="J51" s="287">
        <f>0+2</f>
        <v>2</v>
      </c>
      <c r="K51" s="301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ht="19.5" customHeight="1">
      <c r="A52" s="37"/>
      <c r="B52" s="37"/>
      <c r="C52" s="37"/>
      <c r="D52" s="37"/>
      <c r="E52" s="37"/>
      <c r="F52" s="37"/>
      <c r="G52" s="37"/>
      <c r="H52" s="37"/>
      <c r="I52" s="37"/>
      <c r="J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</row>
    <row r="53" ht="19.5" customHeight="1">
      <c r="A53" s="283" t="s">
        <v>145</v>
      </c>
      <c r="B53" s="54"/>
      <c r="C53" s="54"/>
      <c r="D53" s="54"/>
      <c r="E53" s="54"/>
      <c r="F53" s="54"/>
      <c r="G53" s="54"/>
      <c r="H53" s="54"/>
      <c r="I53" s="54"/>
      <c r="J53" s="54"/>
      <c r="K53" s="70"/>
      <c r="L53" s="37"/>
      <c r="M53" s="37"/>
      <c r="N53" s="37"/>
      <c r="O53" s="37"/>
      <c r="P53" s="280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</row>
    <row r="54" ht="19.5" customHeight="1">
      <c r="A54" s="284" t="s">
        <v>144</v>
      </c>
      <c r="B54" s="289" t="s">
        <v>5</v>
      </c>
      <c r="C54" s="289" t="s">
        <v>49</v>
      </c>
      <c r="D54" s="289" t="s">
        <v>50</v>
      </c>
      <c r="E54" s="289" t="s">
        <v>51</v>
      </c>
      <c r="F54" s="289" t="s">
        <v>52</v>
      </c>
      <c r="G54" s="289" t="s">
        <v>10</v>
      </c>
      <c r="H54" s="289" t="s">
        <v>11</v>
      </c>
      <c r="I54" s="289" t="s">
        <v>12</v>
      </c>
      <c r="J54" s="290" t="s">
        <v>13</v>
      </c>
      <c r="K54" s="291" t="s">
        <v>53</v>
      </c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</row>
    <row r="55" ht="19.5" customHeight="1">
      <c r="A55" s="284" t="s">
        <v>43</v>
      </c>
      <c r="B55" s="287">
        <f>0+1+2</f>
        <v>3</v>
      </c>
      <c r="C55" s="287">
        <f>0+2-1+1-1+1</f>
        <v>2</v>
      </c>
      <c r="D55" s="287">
        <f>0+1+2</f>
        <v>3</v>
      </c>
      <c r="E55" s="287">
        <f t="shared" ref="E55:F55" si="23">0+2+1-1+1</f>
        <v>3</v>
      </c>
      <c r="F55" s="287">
        <f t="shared" si="23"/>
        <v>3</v>
      </c>
      <c r="G55" s="287">
        <f>0+2-1-1</f>
        <v>0</v>
      </c>
      <c r="H55" s="287">
        <f t="shared" ref="H55:J55" si="24">0+2</f>
        <v>2</v>
      </c>
      <c r="I55" s="287">
        <f t="shared" si="24"/>
        <v>2</v>
      </c>
      <c r="J55" s="287">
        <f t="shared" si="24"/>
        <v>2</v>
      </c>
      <c r="K55" s="287">
        <f t="shared" ref="K55:K57" si="26">SUM(B55:J55)</f>
        <v>20</v>
      </c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</row>
    <row r="56" ht="19.5" customHeight="1">
      <c r="A56" s="80" t="s">
        <v>14</v>
      </c>
      <c r="B56" s="287">
        <f>0+2+2-1-1-2+3+1-1+1-1-1</f>
        <v>2</v>
      </c>
      <c r="C56" s="287">
        <f>0+3+2-1-1+1-1+1-2+1-1+1+2</f>
        <v>5</v>
      </c>
      <c r="D56" s="287">
        <f>0+2+2-1-1+1-1+1-3+1+1-1-1+1+1+6</f>
        <v>8</v>
      </c>
      <c r="E56" s="287">
        <f>0+2-1-1+1+1-1-1+2+1+1</f>
        <v>4</v>
      </c>
      <c r="F56" s="287">
        <f>0+1+2-1+1-2+1+1-1+3+1</f>
        <v>6</v>
      </c>
      <c r="G56" s="287">
        <f>0+2+2-2-1+2-1+1+1</f>
        <v>4</v>
      </c>
      <c r="H56" s="287">
        <f t="shared" ref="H56:J56" si="25">0+2</f>
        <v>2</v>
      </c>
      <c r="I56" s="287">
        <f t="shared" si="25"/>
        <v>2</v>
      </c>
      <c r="J56" s="287">
        <f t="shared" si="25"/>
        <v>2</v>
      </c>
      <c r="K56" s="287">
        <f t="shared" si="26"/>
        <v>35</v>
      </c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</row>
    <row r="57" ht="19.5" customHeight="1">
      <c r="A57" s="80" t="s">
        <v>15</v>
      </c>
      <c r="B57" s="287">
        <f>0+1+2-1-1</f>
        <v>1</v>
      </c>
      <c r="C57" s="287">
        <f>0+1+2+1+1-1-1</f>
        <v>3</v>
      </c>
      <c r="D57" s="287">
        <f>0+1+2-1+3+1+1-6+1-1</f>
        <v>1</v>
      </c>
      <c r="E57" s="287">
        <f>0+2+1-1-1</f>
        <v>1</v>
      </c>
      <c r="F57" s="287">
        <f>0+1+2-2+1-1</f>
        <v>1</v>
      </c>
      <c r="G57" s="287">
        <f>0+2-1</f>
        <v>1</v>
      </c>
      <c r="H57" s="287">
        <f>0+2-2+2-1</f>
        <v>1</v>
      </c>
      <c r="I57" s="287">
        <f>0</f>
        <v>0</v>
      </c>
      <c r="J57" s="287">
        <f>0+2-2+2</f>
        <v>2</v>
      </c>
      <c r="K57" s="287">
        <f t="shared" si="26"/>
        <v>11</v>
      </c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</row>
    <row r="58" ht="19.5" customHeight="1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02">
        <f>SUM(K55:K57)</f>
        <v>66</v>
      </c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</row>
    <row r="59" ht="19.5" customHeight="1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</row>
    <row r="60" ht="19.5" customHeight="1">
      <c r="A60" s="283" t="s">
        <v>146</v>
      </c>
      <c r="B60" s="54"/>
      <c r="C60" s="54"/>
      <c r="D60" s="54"/>
      <c r="E60" s="54"/>
      <c r="F60" s="54"/>
      <c r="G60" s="54"/>
      <c r="H60" s="54"/>
      <c r="I60" s="54"/>
      <c r="J60" s="54"/>
      <c r="K60" s="70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</row>
    <row r="61" ht="19.5" customHeight="1">
      <c r="A61" s="284" t="s">
        <v>144</v>
      </c>
      <c r="B61" s="289" t="s">
        <v>5</v>
      </c>
      <c r="C61" s="289" t="s">
        <v>49</v>
      </c>
      <c r="D61" s="289" t="s">
        <v>50</v>
      </c>
      <c r="E61" s="289" t="s">
        <v>51</v>
      </c>
      <c r="F61" s="289" t="s">
        <v>52</v>
      </c>
      <c r="G61" s="289" t="s">
        <v>10</v>
      </c>
      <c r="H61" s="289" t="s">
        <v>11</v>
      </c>
      <c r="I61" s="289" t="s">
        <v>12</v>
      </c>
      <c r="J61" s="290" t="s">
        <v>13</v>
      </c>
      <c r="K61" s="291" t="s">
        <v>53</v>
      </c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</row>
    <row r="62" ht="19.5" customHeight="1">
      <c r="A62" s="303" t="s">
        <v>14</v>
      </c>
      <c r="B62" s="287">
        <f>0+2-1+1</f>
        <v>2</v>
      </c>
      <c r="C62" s="287">
        <f>0+1-1+1+2-1+1-2+2-2+2-3+1+1-2+1-1+1-1+1+1-1-1+1+1-1+1</f>
        <v>2</v>
      </c>
      <c r="D62" s="287">
        <f>0+2-1+1-2+2-1-1+1-1+1-1+1-1+1-1+1-1+1-1+1</f>
        <v>1</v>
      </c>
      <c r="E62" s="287">
        <f>0+2-1+1+1-1-1+1-2+2-1-1+1-1+1-1+1-1+1-1+1-1+1-1+1-1+1-1+1-1+1</f>
        <v>1</v>
      </c>
      <c r="F62" s="287">
        <f>0+2-1-1</f>
        <v>0</v>
      </c>
      <c r="G62" s="287">
        <f>0+2-1-1+1-1+1+1-1-1+1-1+1-1+1</f>
        <v>1</v>
      </c>
      <c r="H62" s="287">
        <f>0+2-1+1+1-1-1+1</f>
        <v>2</v>
      </c>
      <c r="I62" s="287">
        <f t="shared" ref="I62:J62" si="27">0+2</f>
        <v>2</v>
      </c>
      <c r="J62" s="287">
        <f t="shared" si="27"/>
        <v>2</v>
      </c>
      <c r="K62" s="296">
        <f t="shared" ref="K62:K67" si="30">SUM(B62:J62)</f>
        <v>13</v>
      </c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</row>
    <row r="63" ht="19.5" customHeight="1">
      <c r="A63" s="80" t="s">
        <v>147</v>
      </c>
      <c r="B63" s="287">
        <f>0+1</f>
        <v>1</v>
      </c>
      <c r="C63" s="287">
        <f t="shared" ref="C63:D63" si="28">0+1-1+1</f>
        <v>1</v>
      </c>
      <c r="D63" s="287">
        <f t="shared" si="28"/>
        <v>1</v>
      </c>
      <c r="E63" s="287">
        <f>0+1-1+1-1+1</f>
        <v>1</v>
      </c>
      <c r="F63" s="287">
        <f>0+1-1+1-1+1-1+1</f>
        <v>1</v>
      </c>
      <c r="G63" s="287">
        <f>0+1-1+1</f>
        <v>1</v>
      </c>
      <c r="H63" s="287">
        <f t="shared" ref="H63:J63" si="29">0+1</f>
        <v>1</v>
      </c>
      <c r="I63" s="287">
        <f t="shared" si="29"/>
        <v>1</v>
      </c>
      <c r="J63" s="287">
        <f t="shared" si="29"/>
        <v>1</v>
      </c>
      <c r="K63" s="296">
        <f t="shared" si="30"/>
        <v>9</v>
      </c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</row>
    <row r="64" ht="19.5" customHeight="1">
      <c r="A64" s="80" t="s">
        <v>148</v>
      </c>
      <c r="B64" s="287">
        <f t="shared" ref="B64:B65" si="32">0+2</f>
        <v>2</v>
      </c>
      <c r="C64" s="287">
        <f>0+2+1-1+1</f>
        <v>3</v>
      </c>
      <c r="D64" s="287">
        <f>0+1-1+2+1-1</f>
        <v>2</v>
      </c>
      <c r="E64" s="287">
        <f>0+2-1+1-1+1-1+1</f>
        <v>2</v>
      </c>
      <c r="F64" s="287">
        <f t="shared" ref="F64:G64" si="31">0+2</f>
        <v>2</v>
      </c>
      <c r="G64" s="287">
        <f t="shared" si="31"/>
        <v>2</v>
      </c>
      <c r="H64" s="287">
        <f>0+2-1+1</f>
        <v>2</v>
      </c>
      <c r="I64" s="287">
        <f>0+2-1</f>
        <v>1</v>
      </c>
      <c r="J64" s="287">
        <f t="shared" ref="J64:J65" si="34">0+2</f>
        <v>2</v>
      </c>
      <c r="K64" s="296">
        <f t="shared" si="30"/>
        <v>18</v>
      </c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</row>
    <row r="65" ht="19.5" customHeight="1">
      <c r="A65" s="80" t="s">
        <v>15</v>
      </c>
      <c r="B65" s="287">
        <f t="shared" si="32"/>
        <v>2</v>
      </c>
      <c r="C65" s="296">
        <f>0+2-2+1+2+1</f>
        <v>4</v>
      </c>
      <c r="D65" s="287">
        <f>0+2-1+1-1+1-1+1-2+2-1-1+1</f>
        <v>1</v>
      </c>
      <c r="E65" s="287">
        <f t="shared" ref="E65:F65" si="33">0+2-1+1-1+1</f>
        <v>2</v>
      </c>
      <c r="F65" s="287">
        <f t="shared" si="33"/>
        <v>2</v>
      </c>
      <c r="G65" s="287">
        <f>0+2-2+2-1+1</f>
        <v>2</v>
      </c>
      <c r="H65" s="287">
        <f>0+2</f>
        <v>2</v>
      </c>
      <c r="I65" s="287">
        <f>0+2-1+1</f>
        <v>2</v>
      </c>
      <c r="J65" s="287">
        <f t="shared" si="34"/>
        <v>2</v>
      </c>
      <c r="K65" s="296">
        <f t="shared" si="30"/>
        <v>19</v>
      </c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</row>
    <row r="66" ht="19.5" customHeight="1">
      <c r="A66" s="80" t="s">
        <v>74</v>
      </c>
      <c r="B66" s="287">
        <f>0</f>
        <v>0</v>
      </c>
      <c r="C66" s="287">
        <f>0+1-1+1</f>
        <v>1</v>
      </c>
      <c r="D66" s="287">
        <f>0+1-1+1-1+1-1+1-1</f>
        <v>0</v>
      </c>
      <c r="E66" s="287">
        <f>0+1-1+1+1-1-1+1+1-1+1-1+1-1+1-1+1</f>
        <v>2</v>
      </c>
      <c r="F66" s="287">
        <f>0+1+1</f>
        <v>2</v>
      </c>
      <c r="G66" s="287">
        <f t="shared" ref="G66:H66" si="35">0</f>
        <v>0</v>
      </c>
      <c r="H66" s="287">
        <f t="shared" si="35"/>
        <v>0</v>
      </c>
      <c r="I66" s="287">
        <f t="shared" ref="I66:J66" si="36">0+1</f>
        <v>1</v>
      </c>
      <c r="J66" s="287">
        <f t="shared" si="36"/>
        <v>1</v>
      </c>
      <c r="K66" s="296">
        <f t="shared" si="30"/>
        <v>7</v>
      </c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</row>
    <row r="67" ht="19.5" customHeight="1">
      <c r="A67" s="304" t="s">
        <v>18</v>
      </c>
      <c r="B67" s="287">
        <f>2+1</f>
        <v>3</v>
      </c>
      <c r="C67" s="287">
        <f>0+1-1</f>
        <v>0</v>
      </c>
      <c r="D67" s="287">
        <f>0+1-1+1+1-1+1-1</f>
        <v>1</v>
      </c>
      <c r="E67" s="287">
        <f>0+1-1+1-1+1</f>
        <v>1</v>
      </c>
      <c r="F67" s="287">
        <f>0+1-1+2-1</f>
        <v>1</v>
      </c>
      <c r="G67" s="287">
        <f t="shared" ref="G67:I67" si="37">0+1</f>
        <v>1</v>
      </c>
      <c r="H67" s="287">
        <f t="shared" si="37"/>
        <v>1</v>
      </c>
      <c r="I67" s="287">
        <f t="shared" si="37"/>
        <v>1</v>
      </c>
      <c r="J67" s="287">
        <f>0</f>
        <v>0</v>
      </c>
      <c r="K67" s="296">
        <f t="shared" si="30"/>
        <v>9</v>
      </c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</row>
    <row r="68" ht="19.5" customHeight="1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01">
        <f>SUM(K62:K67)</f>
        <v>75</v>
      </c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</row>
    <row r="69" ht="19.5" customHeight="1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ht="19.5" customHeight="1">
      <c r="A70" s="283" t="s">
        <v>149</v>
      </c>
      <c r="B70" s="54"/>
      <c r="C70" s="54"/>
      <c r="D70" s="54"/>
      <c r="E70" s="54"/>
      <c r="F70" s="54"/>
      <c r="G70" s="54"/>
      <c r="H70" s="54"/>
      <c r="I70" s="54"/>
      <c r="J70" s="54"/>
      <c r="K70" s="70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ht="19.5" customHeight="1">
      <c r="A71" s="284" t="s">
        <v>144</v>
      </c>
      <c r="B71" s="289" t="s">
        <v>5</v>
      </c>
      <c r="C71" s="289" t="s">
        <v>49</v>
      </c>
      <c r="D71" s="289" t="s">
        <v>50</v>
      </c>
      <c r="E71" s="289" t="s">
        <v>51</v>
      </c>
      <c r="F71" s="289" t="s">
        <v>52</v>
      </c>
      <c r="G71" s="289" t="s">
        <v>10</v>
      </c>
      <c r="H71" s="289" t="s">
        <v>11</v>
      </c>
      <c r="I71" s="289" t="s">
        <v>12</v>
      </c>
      <c r="J71" s="290" t="s">
        <v>13</v>
      </c>
      <c r="K71" s="291" t="s">
        <v>53</v>
      </c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</row>
    <row r="72" ht="19.5" customHeight="1">
      <c r="A72" s="80" t="s">
        <v>14</v>
      </c>
      <c r="B72" s="287">
        <f t="shared" ref="B72:C72" si="38">0</f>
        <v>0</v>
      </c>
      <c r="C72" s="287">
        <f t="shared" si="38"/>
        <v>0</v>
      </c>
      <c r="D72" s="287">
        <f>0+1+2-3+3-2+2-1+1+1-1+1-1-2+1-1+1-1+1</f>
        <v>2</v>
      </c>
      <c r="E72" s="287">
        <f>0</f>
        <v>0</v>
      </c>
      <c r="F72" s="287">
        <f>0+2</f>
        <v>2</v>
      </c>
      <c r="G72" s="287">
        <f t="shared" ref="G72:H72" si="39">0</f>
        <v>0</v>
      </c>
      <c r="H72" s="287">
        <f t="shared" si="39"/>
        <v>0</v>
      </c>
      <c r="I72" s="287">
        <f>0+1</f>
        <v>1</v>
      </c>
      <c r="J72" s="287">
        <f>0</f>
        <v>0</v>
      </c>
      <c r="K72" s="287">
        <f t="shared" ref="K72:K77" si="42">SUM(B72:J72)</f>
        <v>5</v>
      </c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ht="19.5" customHeight="1">
      <c r="A73" s="80" t="s">
        <v>147</v>
      </c>
      <c r="B73" s="287">
        <f>0</f>
        <v>0</v>
      </c>
      <c r="C73" s="287">
        <f>0+1-1</f>
        <v>0</v>
      </c>
      <c r="D73" s="287">
        <f t="shared" ref="D73:E73" si="40">0</f>
        <v>0</v>
      </c>
      <c r="E73" s="287">
        <f t="shared" si="40"/>
        <v>0</v>
      </c>
      <c r="F73" s="287">
        <f>0+1</f>
        <v>1</v>
      </c>
      <c r="G73" s="287">
        <f t="shared" ref="G73:J73" si="41">0</f>
        <v>0</v>
      </c>
      <c r="H73" s="287">
        <f t="shared" si="41"/>
        <v>0</v>
      </c>
      <c r="I73" s="287">
        <f t="shared" si="41"/>
        <v>0</v>
      </c>
      <c r="J73" s="287">
        <f t="shared" si="41"/>
        <v>0</v>
      </c>
      <c r="K73" s="287">
        <f t="shared" si="42"/>
        <v>1</v>
      </c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ht="19.5" customHeight="1">
      <c r="A74" s="80" t="s">
        <v>148</v>
      </c>
      <c r="B74" s="287">
        <f>0+1</f>
        <v>1</v>
      </c>
      <c r="C74" s="287">
        <f t="shared" ref="C74:D74" si="43">0</f>
        <v>0</v>
      </c>
      <c r="D74" s="287">
        <f t="shared" si="43"/>
        <v>0</v>
      </c>
      <c r="E74" s="287">
        <f>0+2-1</f>
        <v>1</v>
      </c>
      <c r="F74" s="287">
        <f t="shared" ref="F74:J74" si="44">0</f>
        <v>0</v>
      </c>
      <c r="G74" s="287">
        <f t="shared" si="44"/>
        <v>0</v>
      </c>
      <c r="H74" s="287">
        <f t="shared" si="44"/>
        <v>0</v>
      </c>
      <c r="I74" s="287">
        <f t="shared" si="44"/>
        <v>0</v>
      </c>
      <c r="J74" s="287">
        <f t="shared" si="44"/>
        <v>0</v>
      </c>
      <c r="K74" s="287">
        <f t="shared" si="42"/>
        <v>2</v>
      </c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ht="19.5" customHeight="1">
      <c r="A75" s="80" t="s">
        <v>15</v>
      </c>
      <c r="B75" s="287">
        <f>0</f>
        <v>0</v>
      </c>
      <c r="C75" s="287">
        <f>0+1-1+1</f>
        <v>1</v>
      </c>
      <c r="D75" s="287">
        <f>0+1-1</f>
        <v>0</v>
      </c>
      <c r="E75" s="287">
        <f>0+1</f>
        <v>1</v>
      </c>
      <c r="F75" s="287">
        <f>0+3</f>
        <v>3</v>
      </c>
      <c r="G75" s="287">
        <f>0+2-1+1</f>
        <v>2</v>
      </c>
      <c r="H75" s="287">
        <f t="shared" ref="H75:J75" si="45">0</f>
        <v>0</v>
      </c>
      <c r="I75" s="287">
        <f t="shared" si="45"/>
        <v>0</v>
      </c>
      <c r="J75" s="287">
        <f t="shared" si="45"/>
        <v>0</v>
      </c>
      <c r="K75" s="287">
        <f t="shared" si="42"/>
        <v>7</v>
      </c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ht="19.5" customHeight="1">
      <c r="A76" s="80" t="s">
        <v>74</v>
      </c>
      <c r="B76" s="287">
        <f>0+2-2+2</f>
        <v>2</v>
      </c>
      <c r="C76" s="287">
        <f>0+1+1-1-1+1-1</f>
        <v>0</v>
      </c>
      <c r="D76" s="287">
        <f t="shared" ref="D76:D77" si="47">0</f>
        <v>0</v>
      </c>
      <c r="E76" s="287">
        <f>0+1-1</f>
        <v>0</v>
      </c>
      <c r="F76" s="287">
        <f t="shared" ref="F76:J76" si="46">0</f>
        <v>0</v>
      </c>
      <c r="G76" s="287">
        <f t="shared" si="46"/>
        <v>0</v>
      </c>
      <c r="H76" s="287">
        <f t="shared" si="46"/>
        <v>0</v>
      </c>
      <c r="I76" s="287">
        <f t="shared" si="46"/>
        <v>0</v>
      </c>
      <c r="J76" s="287">
        <f t="shared" si="46"/>
        <v>0</v>
      </c>
      <c r="K76" s="287">
        <f t="shared" si="42"/>
        <v>2</v>
      </c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ht="19.5" customHeight="1">
      <c r="A77" s="304" t="s">
        <v>18</v>
      </c>
      <c r="B77" s="287">
        <f>0+1</f>
        <v>1</v>
      </c>
      <c r="C77" s="287">
        <f>0+1-1+1</f>
        <v>1</v>
      </c>
      <c r="D77" s="287">
        <f t="shared" si="47"/>
        <v>0</v>
      </c>
      <c r="E77" s="287">
        <f>0+1-1+1</f>
        <v>1</v>
      </c>
      <c r="F77" s="287">
        <f t="shared" ref="F77:J77" si="48">0</f>
        <v>0</v>
      </c>
      <c r="G77" s="287">
        <f t="shared" si="48"/>
        <v>0</v>
      </c>
      <c r="H77" s="287">
        <f t="shared" si="48"/>
        <v>0</v>
      </c>
      <c r="I77" s="287">
        <f t="shared" si="48"/>
        <v>0</v>
      </c>
      <c r="J77" s="287">
        <f t="shared" si="48"/>
        <v>0</v>
      </c>
      <c r="K77" s="287">
        <f t="shared" si="42"/>
        <v>3</v>
      </c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ht="19.5" customHeight="1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01">
        <f>SUM(K72:K77)</f>
        <v>20</v>
      </c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ht="19.5" customHeight="1">
      <c r="A79" s="37"/>
      <c r="B79" s="37"/>
      <c r="C79" s="37"/>
      <c r="D79" s="37"/>
      <c r="E79" s="37"/>
      <c r="F79" s="37"/>
      <c r="G79" s="37"/>
      <c r="H79" s="37"/>
      <c r="I79" s="37"/>
      <c r="J79" s="13" t="s">
        <v>0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ht="19.5" customHeight="1">
      <c r="A80" s="283" t="s">
        <v>150</v>
      </c>
      <c r="B80" s="54"/>
      <c r="C80" s="54"/>
      <c r="D80" s="54"/>
      <c r="E80" s="54"/>
      <c r="F80" s="54"/>
      <c r="G80" s="54"/>
      <c r="H80" s="54"/>
      <c r="I80" s="54"/>
      <c r="J80" s="54"/>
      <c r="K80" s="70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ht="19.5" customHeight="1">
      <c r="A81" s="289" t="s">
        <v>144</v>
      </c>
      <c r="B81" s="289" t="s">
        <v>5</v>
      </c>
      <c r="C81" s="289" t="s">
        <v>49</v>
      </c>
      <c r="D81" s="289" t="s">
        <v>50</v>
      </c>
      <c r="E81" s="289" t="s">
        <v>51</v>
      </c>
      <c r="F81" s="289" t="s">
        <v>52</v>
      </c>
      <c r="G81" s="289" t="s">
        <v>10</v>
      </c>
      <c r="H81" s="289" t="s">
        <v>11</v>
      </c>
      <c r="I81" s="289" t="s">
        <v>12</v>
      </c>
      <c r="J81" s="290" t="s">
        <v>13</v>
      </c>
      <c r="K81" s="291" t="s">
        <v>53</v>
      </c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ht="19.5" customHeight="1">
      <c r="A82" s="80" t="s">
        <v>14</v>
      </c>
      <c r="B82" s="287">
        <f>0+2-1+1-1+1-1</f>
        <v>1</v>
      </c>
      <c r="C82" s="287">
        <f>0+2-2+1+1-1+1</f>
        <v>2</v>
      </c>
      <c r="D82" s="287">
        <f>0+2-1+1-1+1-1+1-1+1-1+1</f>
        <v>2</v>
      </c>
      <c r="E82" s="287">
        <f>0+1+2-1-1+1-1+1+1-1-1</f>
        <v>1</v>
      </c>
      <c r="F82" s="287">
        <f>0+2-1-1+1+1-2+3+1</f>
        <v>4</v>
      </c>
      <c r="G82" s="287">
        <f>0+2-1-1+1+1-2+2</f>
        <v>2</v>
      </c>
      <c r="H82" s="287">
        <f>0+2-1+1-1</f>
        <v>1</v>
      </c>
      <c r="I82" s="287">
        <f>0+2-1</f>
        <v>1</v>
      </c>
      <c r="J82" s="287">
        <f>0+2-1+1</f>
        <v>2</v>
      </c>
      <c r="K82" s="296">
        <f t="shared" ref="K82:K87" si="50">SUM(B82:J82)</f>
        <v>16</v>
      </c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ht="19.5" customHeight="1">
      <c r="A83" s="80" t="s">
        <v>147</v>
      </c>
      <c r="B83" s="287">
        <f>0+1+1-1</f>
        <v>1</v>
      </c>
      <c r="C83" s="287">
        <f>0+1+1-1+1+1</f>
        <v>3</v>
      </c>
      <c r="D83" s="287">
        <f>0+1+1</f>
        <v>2</v>
      </c>
      <c r="E83" s="287">
        <f>0+1-1+1+1</f>
        <v>2</v>
      </c>
      <c r="F83" s="287">
        <f>0+1</f>
        <v>1</v>
      </c>
      <c r="G83" s="287">
        <f>0+1-1+1+1</f>
        <v>2</v>
      </c>
      <c r="H83" s="287">
        <f>0+1-1+1-1+1</f>
        <v>1</v>
      </c>
      <c r="I83" s="287">
        <f t="shared" ref="I83:J83" si="49">0+1</f>
        <v>1</v>
      </c>
      <c r="J83" s="287">
        <f t="shared" si="49"/>
        <v>1</v>
      </c>
      <c r="K83" s="296">
        <f t="shared" si="50"/>
        <v>14</v>
      </c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ht="19.5" customHeight="1">
      <c r="A84" s="80" t="s">
        <v>148</v>
      </c>
      <c r="B84" s="287">
        <f>0+2</f>
        <v>2</v>
      </c>
      <c r="C84" s="287">
        <f>0+1+2</f>
        <v>3</v>
      </c>
      <c r="D84" s="287">
        <f>0+2-1+1+1</f>
        <v>3</v>
      </c>
      <c r="E84" s="287">
        <f>0+1+2</f>
        <v>3</v>
      </c>
      <c r="F84" s="287">
        <f>0+2-1+1-1+1</f>
        <v>2</v>
      </c>
      <c r="G84" s="287">
        <f>0+2+1+1</f>
        <v>4</v>
      </c>
      <c r="H84" s="287">
        <f t="shared" ref="H84:J84" si="51">0+2</f>
        <v>2</v>
      </c>
      <c r="I84" s="287">
        <f t="shared" si="51"/>
        <v>2</v>
      </c>
      <c r="J84" s="287">
        <f t="shared" si="51"/>
        <v>2</v>
      </c>
      <c r="K84" s="296">
        <f t="shared" si="50"/>
        <v>23</v>
      </c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ht="19.5" customHeight="1">
      <c r="A85" s="80" t="s">
        <v>15</v>
      </c>
      <c r="B85" s="287">
        <f>0+2-2+2</f>
        <v>2</v>
      </c>
      <c r="C85" s="287">
        <f>0+2</f>
        <v>2</v>
      </c>
      <c r="D85" s="287">
        <f>0+5+1-1+1+2+1-1+1</f>
        <v>9</v>
      </c>
      <c r="E85" s="287">
        <f>0+2-2+3</f>
        <v>3</v>
      </c>
      <c r="F85" s="287">
        <f>0+2+2-1</f>
        <v>3</v>
      </c>
      <c r="G85" s="287">
        <f>0+1-1+2-1</f>
        <v>1</v>
      </c>
      <c r="H85" s="287">
        <f>0+1+2-1-1+1+1</f>
        <v>3</v>
      </c>
      <c r="I85" s="287">
        <f t="shared" ref="I85:I86" si="53">0+1</f>
        <v>1</v>
      </c>
      <c r="J85" s="287">
        <f t="shared" ref="J85:J86" si="54">0</f>
        <v>0</v>
      </c>
      <c r="K85" s="287">
        <f t="shared" si="50"/>
        <v>24</v>
      </c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ht="19.5" customHeight="1">
      <c r="A86" s="80" t="s">
        <v>74</v>
      </c>
      <c r="B86" s="287">
        <f>0+2+1-3+3</f>
        <v>3</v>
      </c>
      <c r="C86" s="287">
        <f t="shared" ref="C86:C87" si="55">0+1</f>
        <v>1</v>
      </c>
      <c r="D86" s="287">
        <f>0+1-1+1</f>
        <v>1</v>
      </c>
      <c r="E86" s="287">
        <f>0+1+1-2+2</f>
        <v>2</v>
      </c>
      <c r="F86" s="287">
        <f t="shared" ref="F86:G86" si="52">0+1</f>
        <v>1</v>
      </c>
      <c r="G86" s="287">
        <f t="shared" si="52"/>
        <v>1</v>
      </c>
      <c r="H86" s="287">
        <f>0+1-1+1</f>
        <v>1</v>
      </c>
      <c r="I86" s="287">
        <f t="shared" si="53"/>
        <v>1</v>
      </c>
      <c r="J86" s="287">
        <f t="shared" si="54"/>
        <v>0</v>
      </c>
      <c r="K86" s="296">
        <f t="shared" si="50"/>
        <v>11</v>
      </c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ht="19.5" customHeight="1">
      <c r="A87" s="304" t="s">
        <v>18</v>
      </c>
      <c r="B87" s="287">
        <f>0+1+1-1+1-1+1</f>
        <v>2</v>
      </c>
      <c r="C87" s="287">
        <f t="shared" si="55"/>
        <v>1</v>
      </c>
      <c r="D87" s="287">
        <f>0+1-1+1-1+1</f>
        <v>1</v>
      </c>
      <c r="E87" s="287">
        <f>0+1-1+1-1+1+1-1-1+2</f>
        <v>2</v>
      </c>
      <c r="F87" s="287">
        <f>0+1-1+1-1</f>
        <v>0</v>
      </c>
      <c r="G87" s="287">
        <f>0+1-1+1+1</f>
        <v>2</v>
      </c>
      <c r="H87" s="287">
        <f>0+1</f>
        <v>1</v>
      </c>
      <c r="I87" s="287">
        <f t="shared" ref="I87:J87" si="56">0</f>
        <v>0</v>
      </c>
      <c r="J87" s="287">
        <f t="shared" si="56"/>
        <v>0</v>
      </c>
      <c r="K87" s="296">
        <f t="shared" si="50"/>
        <v>9</v>
      </c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ht="19.5" customHeight="1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01">
        <f>SUM(K82:K87)</f>
        <v>97</v>
      </c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ht="19.5" customHeight="1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ht="19.5" customHeight="1">
      <c r="A90" s="305" t="s">
        <v>151</v>
      </c>
      <c r="B90" s="54"/>
      <c r="C90" s="54"/>
      <c r="D90" s="54"/>
      <c r="E90" s="54"/>
      <c r="F90" s="54"/>
      <c r="G90" s="54"/>
      <c r="H90" s="54"/>
      <c r="I90" s="54"/>
      <c r="J90" s="54"/>
      <c r="K90" s="101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ht="19.5" customHeight="1">
      <c r="A91" s="306"/>
      <c r="B91" s="285" t="s">
        <v>42</v>
      </c>
      <c r="C91" s="54"/>
      <c r="D91" s="54"/>
      <c r="E91" s="54"/>
      <c r="F91" s="54"/>
      <c r="G91" s="54"/>
      <c r="H91" s="54"/>
      <c r="I91" s="54"/>
      <c r="J91" s="70"/>
      <c r="K91" s="30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ht="19.5" customHeight="1">
      <c r="A92" s="80" t="s">
        <v>93</v>
      </c>
      <c r="B92" s="287">
        <v>28.0</v>
      </c>
      <c r="C92" s="287">
        <v>30.0</v>
      </c>
      <c r="D92" s="287">
        <v>32.0</v>
      </c>
      <c r="E92" s="287">
        <v>34.0</v>
      </c>
      <c r="F92" s="287">
        <v>36.0</v>
      </c>
      <c r="G92" s="287">
        <v>38.0</v>
      </c>
      <c r="H92" s="287">
        <v>40.0</v>
      </c>
      <c r="I92" s="287"/>
      <c r="J92" s="287"/>
      <c r="K92" s="30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ht="19.5" customHeight="1">
      <c r="A93" s="80"/>
      <c r="B93" s="289" t="s">
        <v>5</v>
      </c>
      <c r="C93" s="289" t="s">
        <v>49</v>
      </c>
      <c r="D93" s="289" t="s">
        <v>50</v>
      </c>
      <c r="E93" s="289" t="s">
        <v>51</v>
      </c>
      <c r="F93" s="289" t="s">
        <v>52</v>
      </c>
      <c r="G93" s="289" t="s">
        <v>10</v>
      </c>
      <c r="H93" s="289" t="s">
        <v>11</v>
      </c>
      <c r="I93" s="289" t="s">
        <v>12</v>
      </c>
      <c r="J93" s="289" t="s">
        <v>13</v>
      </c>
      <c r="K93" s="308" t="s">
        <v>53</v>
      </c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ht="19.5" customHeight="1">
      <c r="A94" s="80" t="s">
        <v>152</v>
      </c>
      <c r="B94" s="309">
        <f>0+1+2-1</f>
        <v>2</v>
      </c>
      <c r="C94" s="309">
        <f>0+2-2</f>
        <v>0</v>
      </c>
      <c r="D94" s="309">
        <f>0+1+1-2+1</f>
        <v>1</v>
      </c>
      <c r="E94" s="309">
        <f>0+2-1+1+1+2-4-1</f>
        <v>0</v>
      </c>
      <c r="F94" s="309">
        <f>0+2-1+1-2+6-2-1+1-1+1-2+2</f>
        <v>4</v>
      </c>
      <c r="G94" s="309">
        <f>0+1+2-3</f>
        <v>0</v>
      </c>
      <c r="H94" s="309">
        <f>0+2-1</f>
        <v>1</v>
      </c>
      <c r="I94" s="309">
        <f t="shared" ref="I94:J94" si="57">0</f>
        <v>0</v>
      </c>
      <c r="J94" s="309">
        <f t="shared" si="57"/>
        <v>0</v>
      </c>
      <c r="K94" s="309">
        <f t="shared" ref="K94:K100" si="59">SUM(B94:J94)</f>
        <v>8</v>
      </c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ht="19.5" customHeight="1">
      <c r="A95" s="80" t="s">
        <v>153</v>
      </c>
      <c r="B95" s="309">
        <f>0</f>
        <v>0</v>
      </c>
      <c r="C95" s="309">
        <f>0+3-1-1-1+1-1</f>
        <v>0</v>
      </c>
      <c r="D95" s="309">
        <f>0+2-1-1+1+1-1</f>
        <v>1</v>
      </c>
      <c r="E95" s="309">
        <f>0+3+1-1-1+1-1+1-1+2-2+2-1+1</f>
        <v>4</v>
      </c>
      <c r="F95" s="309">
        <f>0+2-1+1+1-1+1-1-1-1+1-1+1</f>
        <v>1</v>
      </c>
      <c r="G95" s="309">
        <f>0</f>
        <v>0</v>
      </c>
      <c r="H95" s="309">
        <f>0+1+1</f>
        <v>2</v>
      </c>
      <c r="I95" s="309">
        <f t="shared" ref="I95:J95" si="58">0</f>
        <v>0</v>
      </c>
      <c r="J95" s="309">
        <f t="shared" si="58"/>
        <v>0</v>
      </c>
      <c r="K95" s="309">
        <f t="shared" si="59"/>
        <v>8</v>
      </c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ht="19.5" customHeight="1">
      <c r="A96" s="80" t="s">
        <v>154</v>
      </c>
      <c r="B96" s="309">
        <f>0+2+2-1-1+1+1+1+1-1</f>
        <v>5</v>
      </c>
      <c r="C96" s="309">
        <f>0+2+2-1+1+1</f>
        <v>5</v>
      </c>
      <c r="D96" s="309">
        <f>0+3+2-1-1+1+1-1-1-1-1+1+1-1-2+2-1-1+2</f>
        <v>2</v>
      </c>
      <c r="E96" s="309">
        <f>0+2-1-1+1+1+1-1+1-1-1+1-1+1-1+1-1+1-1+1-2+2-1-1+1+1</f>
        <v>2</v>
      </c>
      <c r="F96" s="309">
        <f>0+1-1+1+2-1-1+1+1-1+1+1-2+2-2+2-1+1</f>
        <v>4</v>
      </c>
      <c r="G96" s="309">
        <f>0+1+2-1-1+1+1+1-1+1+1-1+1</f>
        <v>5</v>
      </c>
      <c r="H96" s="309">
        <f>0+3</f>
        <v>3</v>
      </c>
      <c r="I96" s="309">
        <f t="shared" ref="I96:J96" si="60">0</f>
        <v>0</v>
      </c>
      <c r="J96" s="309">
        <f t="shared" si="60"/>
        <v>0</v>
      </c>
      <c r="K96" s="309">
        <f t="shared" si="59"/>
        <v>26</v>
      </c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ht="19.5" customHeight="1">
      <c r="A97" s="80" t="s">
        <v>155</v>
      </c>
      <c r="B97" s="309">
        <f>0+1</f>
        <v>1</v>
      </c>
      <c r="C97" s="309">
        <f>0+1+1-1+1+1-1-1</f>
        <v>1</v>
      </c>
      <c r="D97" s="309">
        <f t="shared" ref="D97:D98" si="62">0</f>
        <v>0</v>
      </c>
      <c r="E97" s="309">
        <f>0+1</f>
        <v>1</v>
      </c>
      <c r="F97" s="309">
        <f>0+1+1-1+1+1+1-2</f>
        <v>2</v>
      </c>
      <c r="G97" s="309">
        <f t="shared" ref="G97:J97" si="61">0</f>
        <v>0</v>
      </c>
      <c r="H97" s="309">
        <f t="shared" si="61"/>
        <v>0</v>
      </c>
      <c r="I97" s="309">
        <f t="shared" si="61"/>
        <v>0</v>
      </c>
      <c r="J97" s="309">
        <f t="shared" si="61"/>
        <v>0</v>
      </c>
      <c r="K97" s="309">
        <f t="shared" si="59"/>
        <v>5</v>
      </c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ht="19.5" customHeight="1">
      <c r="A98" s="80" t="s">
        <v>156</v>
      </c>
      <c r="B98" s="309">
        <f>0</f>
        <v>0</v>
      </c>
      <c r="C98" s="309">
        <f>0+2+1+1-1-1+1</f>
        <v>3</v>
      </c>
      <c r="D98" s="309">
        <f t="shared" si="62"/>
        <v>0</v>
      </c>
      <c r="E98" s="309">
        <f>0+1-1+1+1-1+1-1-1+1</f>
        <v>1</v>
      </c>
      <c r="F98" s="309">
        <f t="shared" ref="F98:J98" si="63">0</f>
        <v>0</v>
      </c>
      <c r="G98" s="309">
        <f t="shared" si="63"/>
        <v>0</v>
      </c>
      <c r="H98" s="309">
        <f t="shared" si="63"/>
        <v>0</v>
      </c>
      <c r="I98" s="309">
        <f t="shared" si="63"/>
        <v>0</v>
      </c>
      <c r="J98" s="309">
        <f t="shared" si="63"/>
        <v>0</v>
      </c>
      <c r="K98" s="309">
        <f t="shared" si="59"/>
        <v>4</v>
      </c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ht="19.5" customHeight="1">
      <c r="A99" s="80" t="s">
        <v>157</v>
      </c>
      <c r="B99" s="309">
        <f>0+1-1+2-2</f>
        <v>0</v>
      </c>
      <c r="C99" s="309">
        <f>0+2-1+1-1+1</f>
        <v>2</v>
      </c>
      <c r="D99" s="309">
        <f>0+3-1+1-1+1</f>
        <v>3</v>
      </c>
      <c r="E99" s="309">
        <f>0+1-1+1-1+1</f>
        <v>1</v>
      </c>
      <c r="F99" s="309">
        <f>0+1-1+1+1-1-1+1-1+1</f>
        <v>1</v>
      </c>
      <c r="G99" s="309">
        <f>0+1-1+1-1+1</f>
        <v>1</v>
      </c>
      <c r="H99" s="309">
        <f t="shared" ref="H99:J99" si="64">0</f>
        <v>0</v>
      </c>
      <c r="I99" s="309">
        <f t="shared" si="64"/>
        <v>0</v>
      </c>
      <c r="J99" s="309">
        <f t="shared" si="64"/>
        <v>0</v>
      </c>
      <c r="K99" s="309">
        <f t="shared" si="59"/>
        <v>8</v>
      </c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ht="19.5" customHeight="1">
      <c r="A100" s="304" t="s">
        <v>158</v>
      </c>
      <c r="B100" s="309">
        <f>0+1-1+2</f>
        <v>2</v>
      </c>
      <c r="C100" s="309">
        <f>0+1</f>
        <v>1</v>
      </c>
      <c r="D100" s="309">
        <f>0+2+1-1+1</f>
        <v>3</v>
      </c>
      <c r="E100" s="309">
        <f>0+1-1+1+1</f>
        <v>2</v>
      </c>
      <c r="F100" s="309">
        <f>0+3</f>
        <v>3</v>
      </c>
      <c r="G100" s="309">
        <f t="shared" ref="G100:J100" si="65">0</f>
        <v>0</v>
      </c>
      <c r="H100" s="309">
        <f t="shared" si="65"/>
        <v>0</v>
      </c>
      <c r="I100" s="309">
        <f t="shared" si="65"/>
        <v>0</v>
      </c>
      <c r="J100" s="309">
        <f t="shared" si="65"/>
        <v>0</v>
      </c>
      <c r="K100" s="309">
        <f t="shared" si="59"/>
        <v>11</v>
      </c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ht="19.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01">
        <f>SUM(K94:K99)</f>
        <v>59</v>
      </c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ht="19.5" customHeight="1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ht="19.5" customHeight="1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ht="19.5" customHeight="1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ht="19.5" customHeight="1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ht="19.5" customHeight="1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ht="19.5" customHeight="1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ht="19.5" customHeight="1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ht="19.5" customHeight="1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ht="19.5" customHeight="1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ht="19.5" customHeight="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ht="19.5" customHeight="1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</row>
    <row r="113" ht="19.5" customHeight="1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ht="19.5" customHeight="1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ht="19.5" customHeight="1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ht="19.5" customHeight="1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ht="19.5" customHeight="1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ht="19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ht="19.5" customHeight="1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ht="19.5" customHeight="1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ht="19.5" customHeight="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ht="19.5" customHeight="1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ht="19.5" customHeight="1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ht="19.5" customHeight="1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ht="19.5" customHeight="1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ht="19.5" customHeight="1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ht="19.5" customHeight="1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ht="19.5" customHeight="1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ht="19.5" customHeight="1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 ht="19.5" customHeight="1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ht="19.5" customHeight="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ht="19.5" customHeight="1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ht="19.5" customHeight="1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ht="19.5" customHeight="1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ht="19.5" customHeight="1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ht="19.5" customHeight="1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ht="19.5" customHeight="1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ht="19.5" customHeight="1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ht="19.5" customHeight="1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</row>
    <row r="140" ht="19.5" customHeight="1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</row>
    <row r="141" ht="19.5" customHeight="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</row>
    <row r="142" ht="19.5" customHeight="1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</row>
    <row r="143" ht="19.5" customHeight="1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</row>
    <row r="144" ht="19.5" customHeight="1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</row>
    <row r="145" ht="19.5" customHeight="1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</row>
    <row r="146" ht="19.5" customHeight="1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</row>
    <row r="147" ht="19.5" customHeight="1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</row>
    <row r="148" ht="19.5" customHeight="1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</row>
    <row r="149" ht="19.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</row>
    <row r="150" ht="19.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</row>
    <row r="151" ht="19.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</row>
    <row r="152" ht="19.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</row>
    <row r="153" ht="19.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</row>
    <row r="154" ht="19.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</row>
    <row r="155" ht="19.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</row>
    <row r="156" ht="19.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</row>
    <row r="157" ht="19.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</row>
    <row r="158" ht="19.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</row>
    <row r="159" ht="19.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</row>
    <row r="160" ht="19.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</row>
    <row r="161" ht="19.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</row>
    <row r="162" ht="19.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</row>
    <row r="163" ht="19.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</row>
    <row r="164" ht="19.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</row>
    <row r="165" ht="19.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</row>
    <row r="166" ht="19.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</row>
    <row r="167" ht="19.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</row>
    <row r="168" ht="19.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</row>
    <row r="169" ht="19.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</row>
    <row r="170" ht="19.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</row>
    <row r="171" ht="19.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</row>
    <row r="172" ht="19.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</row>
    <row r="173" ht="19.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</row>
    <row r="174" ht="19.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</row>
    <row r="175" ht="19.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</row>
    <row r="176" ht="19.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</row>
    <row r="177" ht="19.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</row>
    <row r="178" ht="19.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</row>
    <row r="179" ht="19.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</row>
    <row r="180" ht="19.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</row>
    <row r="181" ht="19.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</row>
    <row r="182" ht="19.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</row>
    <row r="183" ht="19.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</row>
    <row r="184" ht="19.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</row>
    <row r="185" ht="19.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</row>
    <row r="186" ht="19.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</row>
    <row r="187" ht="19.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</row>
    <row r="188" ht="19.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</row>
    <row r="189" ht="19.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</row>
    <row r="190" ht="19.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</row>
    <row r="191" ht="19.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</row>
    <row r="192" ht="19.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</row>
    <row r="193" ht="19.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</row>
    <row r="194" ht="19.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</row>
    <row r="195" ht="19.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</row>
    <row r="196" ht="19.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</row>
    <row r="197" ht="19.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</row>
    <row r="198" ht="19.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</row>
    <row r="199" ht="19.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</row>
    <row r="200" ht="19.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</row>
    <row r="201" ht="19.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</row>
    <row r="202" ht="19.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</row>
    <row r="203" ht="19.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</row>
    <row r="204" ht="19.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</row>
    <row r="205" ht="19.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</row>
    <row r="206" ht="19.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</row>
    <row r="207" ht="19.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</row>
    <row r="208" ht="19.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</row>
    <row r="209" ht="19.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</row>
    <row r="210" ht="19.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</row>
    <row r="211" ht="19.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</row>
    <row r="212" ht="19.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</row>
    <row r="213" ht="19.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</row>
    <row r="214" ht="19.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</row>
    <row r="215" ht="19.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</row>
    <row r="216" ht="19.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</row>
    <row r="217" ht="19.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</row>
    <row r="218" ht="19.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</row>
    <row r="219" ht="19.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</row>
    <row r="220" ht="19.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</row>
    <row r="221" ht="19.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</row>
    <row r="222" ht="19.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</row>
    <row r="223" ht="19.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</row>
    <row r="224" ht="19.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</row>
    <row r="225" ht="19.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</row>
    <row r="226" ht="19.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</row>
    <row r="227" ht="19.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</row>
    <row r="228" ht="19.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</row>
    <row r="229" ht="19.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</row>
    <row r="230" ht="19.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</row>
    <row r="231" ht="19.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</row>
    <row r="232" ht="19.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</row>
    <row r="233" ht="19.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</row>
    <row r="234" ht="19.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</row>
    <row r="235" ht="19.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</row>
    <row r="236" ht="19.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</row>
    <row r="237" ht="19.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</row>
    <row r="238" ht="19.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</row>
    <row r="239" ht="19.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</row>
    <row r="240" ht="19.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</row>
    <row r="241" ht="19.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</row>
    <row r="242" ht="19.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</row>
    <row r="243" ht="19.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</row>
    <row r="244" ht="19.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</row>
    <row r="245" ht="19.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ht="19.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ht="19.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ht="19.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ht="19.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ht="19.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ht="19.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ht="19.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</row>
    <row r="253" ht="19.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ht="19.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ht="19.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ht="19.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ht="19.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</row>
    <row r="258" ht="19.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ht="19.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ht="19.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ht="19.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</row>
    <row r="262" ht="19.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ht="19.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ht="19.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</row>
    <row r="265" ht="19.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</row>
    <row r="266" ht="19.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</row>
    <row r="267" ht="19.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ht="19.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</row>
    <row r="269" ht="19.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</row>
    <row r="270" ht="19.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ht="19.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ht="19.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ht="19.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ht="19.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ht="19.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 ht="19.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ht="19.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ht="19.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 ht="19.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ht="19.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ht="19.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  <row r="282" ht="19.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</row>
    <row r="283" ht="19.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</row>
    <row r="284" ht="19.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</row>
    <row r="285" ht="19.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</row>
    <row r="286" ht="19.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</row>
    <row r="287" ht="19.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</row>
    <row r="288" ht="19.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</row>
    <row r="289" ht="19.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</row>
    <row r="290" ht="19.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</row>
    <row r="291" ht="19.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</row>
    <row r="292" ht="19.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</row>
    <row r="293" ht="19.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</row>
    <row r="294" ht="19.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</row>
    <row r="295" ht="19.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</row>
    <row r="296" ht="19.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</row>
    <row r="297" ht="19.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</row>
    <row r="298" ht="19.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</row>
    <row r="299" ht="19.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</row>
    <row r="300" ht="19.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</row>
    <row r="301" ht="19.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</row>
    <row r="302" ht="19.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</row>
    <row r="303" ht="19.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</row>
    <row r="304" ht="19.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</row>
    <row r="305" ht="19.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</row>
    <row r="306" ht="19.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</row>
    <row r="307" ht="19.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</row>
    <row r="308" ht="19.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</row>
    <row r="309" ht="19.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</row>
    <row r="310" ht="19.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</row>
    <row r="311" ht="19.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</row>
    <row r="312" ht="19.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</row>
    <row r="313" ht="19.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</row>
    <row r="314" ht="19.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</row>
    <row r="315" ht="19.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</row>
    <row r="316" ht="19.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</row>
    <row r="317" ht="19.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</row>
    <row r="318" ht="19.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</row>
    <row r="319" ht="19.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</row>
    <row r="320" ht="19.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</row>
    <row r="321" ht="19.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</row>
    <row r="322" ht="19.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</row>
    <row r="323" ht="19.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</row>
    <row r="324" ht="19.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</row>
    <row r="325" ht="19.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</row>
    <row r="326" ht="19.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</row>
    <row r="327" ht="19.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</row>
    <row r="328" ht="19.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</row>
    <row r="329" ht="19.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</row>
    <row r="330" ht="19.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</row>
    <row r="331" ht="19.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</row>
    <row r="332" ht="19.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</row>
    <row r="333" ht="19.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</row>
    <row r="334" ht="19.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</row>
    <row r="335" ht="19.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</row>
    <row r="336" ht="19.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</row>
    <row r="337" ht="19.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</row>
    <row r="338" ht="19.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</row>
    <row r="339" ht="19.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</row>
    <row r="340" ht="19.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</row>
    <row r="341" ht="19.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</row>
    <row r="342" ht="19.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</row>
    <row r="343" ht="19.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</row>
    <row r="344" ht="19.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</row>
    <row r="345" ht="19.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</row>
    <row r="346" ht="19.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</row>
    <row r="347" ht="19.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</row>
    <row r="348" ht="19.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</row>
    <row r="349" ht="19.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</row>
    <row r="350" ht="19.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</row>
    <row r="351" ht="19.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</row>
    <row r="352" ht="19.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</row>
    <row r="353" ht="19.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</row>
    <row r="354" ht="19.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</row>
    <row r="355" ht="19.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</row>
    <row r="356" ht="19.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</row>
    <row r="357" ht="19.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</row>
    <row r="358" ht="19.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</row>
    <row r="359" ht="19.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</row>
    <row r="360" ht="19.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</row>
    <row r="361" ht="19.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</row>
    <row r="362" ht="19.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</row>
    <row r="363" ht="19.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</row>
    <row r="364" ht="19.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</row>
    <row r="365" ht="19.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</row>
    <row r="366" ht="19.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</row>
    <row r="367" ht="19.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</row>
    <row r="368" ht="19.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</row>
    <row r="369" ht="19.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</row>
    <row r="370" ht="19.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</row>
    <row r="371" ht="19.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</row>
    <row r="372" ht="19.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</row>
    <row r="373" ht="19.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</row>
    <row r="374" ht="19.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</row>
    <row r="375" ht="19.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</row>
    <row r="376" ht="19.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</row>
    <row r="377" ht="19.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</row>
    <row r="378" ht="19.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</row>
    <row r="379" ht="19.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</row>
    <row r="380" ht="19.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</row>
    <row r="381" ht="19.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</row>
    <row r="382" ht="19.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</row>
    <row r="383" ht="19.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</row>
    <row r="384" ht="19.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</row>
    <row r="385" ht="19.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</row>
    <row r="386" ht="19.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</row>
    <row r="387" ht="19.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</row>
    <row r="388" ht="19.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</row>
    <row r="389" ht="19.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</row>
    <row r="390" ht="19.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</row>
    <row r="391" ht="19.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</row>
    <row r="392" ht="19.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</row>
    <row r="393" ht="19.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</row>
    <row r="394" ht="19.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</row>
    <row r="395" ht="19.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</row>
    <row r="396" ht="19.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</row>
    <row r="397" ht="19.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</row>
    <row r="398" ht="19.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</row>
    <row r="399" ht="19.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</row>
    <row r="400" ht="19.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</row>
    <row r="401" ht="19.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</row>
    <row r="402" ht="19.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</row>
    <row r="403" ht="19.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</row>
    <row r="404" ht="19.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</row>
    <row r="405" ht="19.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</row>
    <row r="406" ht="19.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</row>
    <row r="407" ht="19.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</row>
    <row r="408" ht="19.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</row>
    <row r="409" ht="19.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</row>
    <row r="410" ht="19.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</row>
    <row r="411" ht="19.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</row>
    <row r="412" ht="19.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</row>
    <row r="413" ht="19.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</row>
    <row r="414" ht="19.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</row>
    <row r="415" ht="19.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</row>
    <row r="416" ht="19.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</row>
    <row r="417" ht="19.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</row>
    <row r="418" ht="19.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</row>
    <row r="419" ht="19.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</row>
    <row r="420" ht="19.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</row>
    <row r="421" ht="19.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</row>
    <row r="422" ht="19.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</row>
    <row r="423" ht="19.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</row>
    <row r="424" ht="19.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</row>
    <row r="425" ht="19.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</row>
    <row r="426" ht="19.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  <c r="AC426" s="37"/>
    </row>
    <row r="427" ht="19.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</row>
    <row r="428" ht="19.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  <c r="AC428" s="37"/>
    </row>
    <row r="429" ht="19.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</row>
    <row r="430" ht="19.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  <c r="AC430" s="37"/>
    </row>
    <row r="431" ht="19.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</row>
    <row r="432" ht="19.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</row>
    <row r="433" ht="19.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7"/>
    </row>
    <row r="434" ht="19.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7"/>
    </row>
    <row r="435" ht="19.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</row>
    <row r="436" ht="19.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</row>
    <row r="437" ht="19.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  <c r="AC437" s="37"/>
    </row>
    <row r="438" ht="19.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7"/>
    </row>
    <row r="439" ht="19.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7"/>
    </row>
    <row r="440" ht="19.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</row>
    <row r="441" ht="19.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</row>
    <row r="442" ht="19.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  <c r="AC442" s="37"/>
    </row>
    <row r="443" ht="19.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</row>
    <row r="444" ht="19.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  <c r="AC444" s="37"/>
    </row>
    <row r="445" ht="19.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  <c r="AC445" s="37"/>
    </row>
    <row r="446" ht="19.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  <c r="AC446" s="37"/>
    </row>
    <row r="447" ht="19.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7"/>
    </row>
    <row r="448" ht="19.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7"/>
    </row>
    <row r="449" ht="19.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7"/>
    </row>
    <row r="450" ht="19.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7"/>
    </row>
    <row r="451" ht="19.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</row>
    <row r="452" ht="19.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</row>
    <row r="453" ht="19.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</row>
    <row r="454" ht="19.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7"/>
    </row>
    <row r="455" ht="19.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</row>
    <row r="456" ht="19.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7"/>
    </row>
    <row r="457" ht="19.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</row>
    <row r="458" ht="19.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  <c r="AC458" s="37"/>
    </row>
    <row r="459" ht="19.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7"/>
    </row>
    <row r="460" ht="19.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7"/>
    </row>
    <row r="461" ht="19.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7"/>
    </row>
    <row r="462" ht="19.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7"/>
    </row>
    <row r="463" ht="19.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</row>
    <row r="464" ht="19.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7"/>
    </row>
    <row r="465" ht="19.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</row>
    <row r="466" ht="19.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</row>
    <row r="467" ht="19.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  <c r="AC467" s="37"/>
    </row>
    <row r="468" ht="19.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7"/>
    </row>
    <row r="469" ht="19.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7"/>
    </row>
    <row r="470" ht="19.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7"/>
    </row>
    <row r="471" ht="19.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  <c r="AC471" s="37"/>
    </row>
    <row r="472" ht="19.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  <c r="AC472" s="37"/>
    </row>
    <row r="473" ht="19.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  <c r="AC473" s="37"/>
    </row>
    <row r="474" ht="19.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7"/>
    </row>
    <row r="475" ht="19.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  <c r="AC475" s="37"/>
    </row>
    <row r="476" ht="19.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7"/>
    </row>
    <row r="477" ht="19.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  <c r="AC477" s="37"/>
    </row>
    <row r="478" ht="19.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  <c r="AC478" s="37"/>
    </row>
    <row r="479" ht="19.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  <c r="AC479" s="37"/>
    </row>
    <row r="480" ht="19.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  <c r="AC480" s="37"/>
    </row>
    <row r="481" ht="19.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  <c r="AC481" s="37"/>
    </row>
    <row r="482" ht="19.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</row>
    <row r="483" ht="19.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  <c r="AC483" s="37"/>
    </row>
    <row r="484" ht="19.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</row>
    <row r="485" ht="19.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  <c r="AC485" s="37"/>
    </row>
    <row r="486" ht="19.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  <c r="AC486" s="37"/>
    </row>
    <row r="487" ht="19.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</row>
    <row r="488" ht="19.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</row>
    <row r="489" ht="19.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</row>
    <row r="490" ht="19.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  <c r="AC490" s="37"/>
    </row>
    <row r="491" ht="19.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</row>
    <row r="492" ht="19.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  <c r="AC492" s="37"/>
    </row>
    <row r="493" ht="19.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  <c r="AC493" s="37"/>
    </row>
    <row r="494" ht="19.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  <c r="AC494" s="37"/>
    </row>
    <row r="495" ht="19.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  <c r="AC495" s="37"/>
    </row>
    <row r="496" ht="19.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  <c r="AC496" s="37"/>
    </row>
    <row r="497" ht="19.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  <c r="AC497" s="37"/>
    </row>
    <row r="498" ht="19.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  <c r="AC498" s="37"/>
    </row>
    <row r="499" ht="19.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  <c r="AC499" s="37"/>
    </row>
    <row r="500" ht="19.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  <c r="AC500" s="37"/>
    </row>
    <row r="501" ht="19.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  <c r="AC501" s="37"/>
    </row>
    <row r="502" ht="19.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  <c r="AC502" s="37"/>
    </row>
    <row r="503" ht="19.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  <c r="AC503" s="37"/>
    </row>
    <row r="504" ht="19.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  <c r="AC504" s="37"/>
    </row>
    <row r="505" ht="19.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  <c r="AC505" s="37"/>
    </row>
    <row r="506" ht="19.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  <c r="AC506" s="37"/>
    </row>
    <row r="507" ht="19.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</row>
    <row r="508" ht="19.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</row>
    <row r="509" ht="19.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  <c r="AC509" s="37"/>
    </row>
    <row r="510" ht="19.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</row>
    <row r="511" ht="19.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</row>
    <row r="512" ht="19.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</row>
    <row r="513" ht="19.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</row>
    <row r="514" ht="19.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</row>
    <row r="515" ht="19.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  <c r="AC515" s="37"/>
    </row>
    <row r="516" ht="19.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  <c r="AC516" s="37"/>
    </row>
    <row r="517" ht="19.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  <c r="AC517" s="37"/>
    </row>
    <row r="518" ht="19.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  <c r="AC518" s="37"/>
    </row>
    <row r="519" ht="19.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</row>
    <row r="520" ht="19.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</row>
    <row r="521" ht="19.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</row>
    <row r="522" ht="19.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</row>
    <row r="523" ht="19.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  <c r="AC523" s="37"/>
    </row>
    <row r="524" ht="19.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</row>
    <row r="525" ht="19.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</row>
    <row r="526" ht="19.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</row>
    <row r="527" ht="19.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  <c r="AC527" s="37"/>
    </row>
    <row r="528" ht="19.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  <c r="AC528" s="37"/>
    </row>
    <row r="529" ht="19.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  <c r="AC529" s="37"/>
    </row>
    <row r="530" ht="19.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  <c r="AC530" s="37"/>
    </row>
    <row r="531" ht="19.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</row>
    <row r="532" ht="19.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</row>
    <row r="533" ht="19.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</row>
    <row r="534" ht="19.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  <c r="AC534" s="37"/>
    </row>
    <row r="535" ht="19.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</row>
    <row r="536" ht="19.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</row>
    <row r="537" ht="19.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  <c r="AA537" s="37"/>
      <c r="AB537" s="37"/>
      <c r="AC537" s="37"/>
    </row>
    <row r="538" ht="19.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</row>
    <row r="539" ht="19.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</row>
    <row r="540" ht="19.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</row>
    <row r="541" ht="19.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</row>
    <row r="542" ht="19.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</row>
    <row r="543" ht="19.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</row>
    <row r="544" ht="19.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</row>
    <row r="545" ht="19.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</row>
    <row r="546" ht="19.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</row>
    <row r="547" ht="19.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  <c r="AA547" s="37"/>
      <c r="AB547" s="37"/>
      <c r="AC547" s="37"/>
    </row>
    <row r="548" ht="19.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</row>
    <row r="549" ht="19.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  <c r="AA549" s="37"/>
      <c r="AB549" s="37"/>
      <c r="AC549" s="37"/>
    </row>
    <row r="550" ht="19.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</row>
    <row r="551" ht="19.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</row>
    <row r="552" ht="19.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</row>
    <row r="553" ht="19.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</row>
    <row r="554" ht="19.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</row>
    <row r="555" ht="19.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</row>
    <row r="556" ht="19.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</row>
    <row r="557" ht="19.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</row>
    <row r="558" ht="19.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</row>
    <row r="559" ht="19.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</row>
    <row r="560" ht="19.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  <c r="AA560" s="37"/>
      <c r="AB560" s="37"/>
      <c r="AC560" s="37"/>
    </row>
    <row r="561" ht="19.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</row>
    <row r="562" ht="19.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</row>
    <row r="563" ht="19.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</row>
    <row r="564" ht="19.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</row>
    <row r="565" ht="19.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</row>
    <row r="566" ht="19.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</row>
    <row r="567" ht="19.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</row>
    <row r="568" ht="19.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</row>
    <row r="569" ht="19.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  <c r="AA569" s="37"/>
      <c r="AB569" s="37"/>
      <c r="AC569" s="37"/>
    </row>
    <row r="570" ht="19.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  <c r="AA570" s="37"/>
      <c r="AB570" s="37"/>
      <c r="AC570" s="37"/>
    </row>
    <row r="571" ht="19.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</row>
    <row r="572" ht="19.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  <c r="AA572" s="37"/>
      <c r="AB572" s="37"/>
      <c r="AC572" s="37"/>
    </row>
    <row r="573" ht="19.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</row>
    <row r="574" ht="19.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  <c r="AA574" s="37"/>
      <c r="AB574" s="37"/>
      <c r="AC574" s="37"/>
    </row>
    <row r="575" ht="19.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</row>
    <row r="576" ht="19.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  <c r="AA576" s="37"/>
      <c r="AB576" s="37"/>
      <c r="AC576" s="37"/>
    </row>
    <row r="577" ht="19.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</row>
    <row r="578" ht="19.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</row>
    <row r="579" ht="19.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</row>
    <row r="580" ht="19.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</row>
    <row r="581" ht="19.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  <c r="AA581" s="37"/>
      <c r="AB581" s="37"/>
      <c r="AC581" s="37"/>
    </row>
    <row r="582" ht="19.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</row>
    <row r="583" ht="19.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</row>
    <row r="584" ht="19.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</row>
    <row r="585" ht="19.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</row>
    <row r="586" ht="19.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  <c r="AA586" s="37"/>
      <c r="AB586" s="37"/>
      <c r="AC586" s="37"/>
    </row>
    <row r="587" ht="19.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</row>
    <row r="588" ht="19.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</row>
    <row r="589" ht="19.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</row>
    <row r="590" ht="19.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</row>
    <row r="591" ht="19.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</row>
    <row r="592" ht="19.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</row>
    <row r="593" ht="19.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</row>
    <row r="594" ht="19.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</row>
    <row r="595" ht="19.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</row>
    <row r="596" ht="19.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</row>
    <row r="597" ht="19.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</row>
    <row r="598" ht="19.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  <c r="AA598" s="37"/>
      <c r="AB598" s="37"/>
      <c r="AC598" s="37"/>
    </row>
    <row r="599" ht="19.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</row>
    <row r="600" ht="19.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</row>
    <row r="601" ht="19.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</row>
    <row r="602" ht="19.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</row>
    <row r="603" ht="19.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</row>
    <row r="604" ht="19.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</row>
    <row r="605" ht="19.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</row>
    <row r="606" ht="19.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</row>
    <row r="607" ht="19.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</row>
    <row r="608" ht="19.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</row>
    <row r="609" ht="19.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</row>
    <row r="610" ht="19.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</row>
    <row r="611" ht="19.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</row>
    <row r="612" ht="19.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</row>
    <row r="613" ht="19.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</row>
    <row r="614" ht="19.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</row>
    <row r="615" ht="19.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</row>
    <row r="616" ht="19.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</row>
    <row r="617" ht="19.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</row>
    <row r="618" ht="19.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</row>
    <row r="619" ht="19.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</row>
    <row r="620" ht="19.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</row>
    <row r="621" ht="19.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</row>
    <row r="622" ht="19.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</row>
    <row r="623" ht="19.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</row>
    <row r="624" ht="19.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</row>
    <row r="625" ht="19.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</row>
    <row r="626" ht="19.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</row>
    <row r="627" ht="19.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</row>
    <row r="628" ht="19.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</row>
    <row r="629" ht="19.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</row>
    <row r="630" ht="19.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</row>
    <row r="631" ht="19.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</row>
    <row r="632" ht="19.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</row>
    <row r="633" ht="19.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</row>
    <row r="634" ht="19.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</row>
    <row r="635" ht="19.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</row>
    <row r="636" ht="19.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</row>
    <row r="637" ht="19.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</row>
    <row r="638" ht="19.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</row>
    <row r="639" ht="19.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</row>
    <row r="640" ht="19.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</row>
    <row r="641" ht="19.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</row>
    <row r="642" ht="19.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</row>
    <row r="643" ht="19.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</row>
    <row r="644" ht="19.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</row>
    <row r="645" ht="19.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</row>
    <row r="646" ht="19.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</row>
    <row r="647" ht="19.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</row>
    <row r="648" ht="19.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</row>
    <row r="649" ht="19.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</row>
    <row r="650" ht="19.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</row>
    <row r="651" ht="19.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</row>
    <row r="652" ht="19.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</row>
    <row r="653" ht="19.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</row>
    <row r="654" ht="19.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</row>
    <row r="655" ht="19.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</row>
    <row r="656" ht="19.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</row>
    <row r="657" ht="19.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</row>
    <row r="658" ht="19.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</row>
    <row r="659" ht="19.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</row>
    <row r="660" ht="19.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</row>
    <row r="661" ht="19.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</row>
    <row r="662" ht="19.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</row>
    <row r="663" ht="19.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</row>
    <row r="664" ht="19.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</row>
    <row r="665" ht="19.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</row>
    <row r="666" ht="19.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</row>
    <row r="667" ht="19.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</row>
    <row r="668" ht="19.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</row>
    <row r="669" ht="19.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</row>
    <row r="670" ht="19.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</row>
    <row r="671" ht="19.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</row>
    <row r="672" ht="19.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</row>
    <row r="673" ht="19.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</row>
    <row r="674" ht="19.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</row>
    <row r="675" ht="19.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</row>
    <row r="676" ht="19.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</row>
    <row r="677" ht="19.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</row>
    <row r="678" ht="19.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</row>
    <row r="679" ht="19.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</row>
    <row r="680" ht="19.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</row>
    <row r="681" ht="19.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</row>
    <row r="682" ht="19.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</row>
    <row r="683" ht="19.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</row>
    <row r="684" ht="19.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</row>
    <row r="685" ht="19.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</row>
    <row r="686" ht="19.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</row>
    <row r="687" ht="19.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</row>
    <row r="688" ht="19.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</row>
    <row r="689" ht="19.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</row>
    <row r="690" ht="19.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</row>
    <row r="691" ht="19.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</row>
    <row r="692" ht="19.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</row>
    <row r="693" ht="19.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</row>
    <row r="694" ht="19.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</row>
    <row r="695" ht="19.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</row>
    <row r="696" ht="19.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</row>
    <row r="697" ht="19.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</row>
    <row r="698" ht="19.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</row>
    <row r="699" ht="19.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</row>
    <row r="700" ht="19.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</row>
    <row r="701" ht="19.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</row>
    <row r="702" ht="19.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</row>
    <row r="703" ht="19.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</row>
    <row r="704" ht="19.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</row>
    <row r="705" ht="19.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</row>
    <row r="706" ht="19.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</row>
    <row r="707" ht="19.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</row>
    <row r="708" ht="19.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</row>
    <row r="709" ht="19.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</row>
    <row r="710" ht="19.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</row>
    <row r="711" ht="19.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</row>
    <row r="712" ht="19.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</row>
    <row r="713" ht="19.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</row>
    <row r="714" ht="19.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</row>
    <row r="715" ht="19.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</row>
    <row r="716" ht="19.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</row>
    <row r="717" ht="19.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</row>
    <row r="718" ht="19.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</row>
    <row r="719" ht="19.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</row>
    <row r="720" ht="19.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</row>
    <row r="721" ht="19.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</row>
    <row r="722" ht="19.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</row>
    <row r="723" ht="19.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</row>
    <row r="724" ht="19.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</row>
    <row r="725" ht="19.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</row>
    <row r="726" ht="19.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</row>
    <row r="727" ht="19.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</row>
    <row r="728" ht="19.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</row>
    <row r="729" ht="19.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</row>
    <row r="730" ht="19.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</row>
    <row r="731" ht="19.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</row>
    <row r="732" ht="19.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</row>
    <row r="733" ht="19.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</row>
    <row r="734" ht="19.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</row>
    <row r="735" ht="19.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</row>
    <row r="736" ht="19.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</row>
    <row r="737" ht="19.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</row>
    <row r="738" ht="19.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</row>
    <row r="739" ht="19.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</row>
    <row r="740" ht="19.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</row>
    <row r="741" ht="19.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</row>
    <row r="742" ht="19.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</row>
    <row r="743" ht="19.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</row>
    <row r="744" ht="19.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</row>
    <row r="745" ht="19.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</row>
    <row r="746" ht="19.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</row>
    <row r="747" ht="19.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</row>
    <row r="748" ht="19.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</row>
    <row r="749" ht="19.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</row>
    <row r="750" ht="19.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</row>
    <row r="751" ht="19.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</row>
    <row r="752" ht="19.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</row>
    <row r="753" ht="19.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</row>
    <row r="754" ht="19.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</row>
    <row r="755" ht="19.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</row>
    <row r="756" ht="19.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</row>
    <row r="757" ht="19.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</row>
    <row r="758" ht="19.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</row>
    <row r="759" ht="19.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</row>
    <row r="760" ht="19.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</row>
    <row r="761" ht="19.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</row>
    <row r="762" ht="19.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</row>
    <row r="763" ht="19.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</row>
    <row r="764" ht="19.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</row>
    <row r="765" ht="19.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</row>
    <row r="766" ht="19.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</row>
    <row r="767" ht="19.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</row>
    <row r="768" ht="19.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</row>
    <row r="769" ht="19.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</row>
    <row r="770" ht="19.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</row>
    <row r="771" ht="19.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</row>
    <row r="772" ht="19.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</row>
    <row r="773" ht="19.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</row>
    <row r="774" ht="19.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</row>
    <row r="775" ht="19.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</row>
    <row r="776" ht="19.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</row>
    <row r="777" ht="19.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</row>
    <row r="778" ht="19.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</row>
    <row r="779" ht="19.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</row>
    <row r="780" ht="19.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</row>
    <row r="781" ht="19.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</row>
    <row r="782" ht="19.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</row>
    <row r="783" ht="19.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</row>
    <row r="784" ht="19.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</row>
    <row r="785" ht="19.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</row>
    <row r="786" ht="19.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</row>
    <row r="787" ht="19.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</row>
    <row r="788" ht="19.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</row>
    <row r="789" ht="19.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</row>
    <row r="790" ht="19.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</row>
    <row r="791" ht="19.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</row>
    <row r="792" ht="19.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</row>
    <row r="793" ht="19.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</row>
    <row r="794" ht="19.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</row>
    <row r="795" ht="19.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</row>
    <row r="796" ht="19.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</row>
    <row r="797" ht="19.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</row>
    <row r="798" ht="19.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</row>
    <row r="799" ht="19.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</row>
    <row r="800" ht="19.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</row>
    <row r="801" ht="19.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</row>
    <row r="802" ht="19.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</row>
    <row r="803" ht="19.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</row>
    <row r="804" ht="19.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</row>
    <row r="805" ht="19.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</row>
    <row r="806" ht="19.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</row>
    <row r="807" ht="19.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</row>
    <row r="808" ht="19.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</row>
    <row r="809" ht="19.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</row>
    <row r="810" ht="19.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</row>
    <row r="811" ht="19.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</row>
    <row r="812" ht="19.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</row>
    <row r="813" ht="19.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</row>
    <row r="814" ht="19.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</row>
    <row r="815" ht="19.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</row>
    <row r="816" ht="19.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</row>
    <row r="817" ht="19.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</row>
    <row r="818" ht="19.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</row>
    <row r="819" ht="19.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</row>
    <row r="820" ht="19.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</row>
    <row r="821" ht="19.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</row>
    <row r="822" ht="19.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</row>
    <row r="823" ht="19.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</row>
    <row r="824" ht="19.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</row>
    <row r="825" ht="19.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</row>
    <row r="826" ht="19.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</row>
    <row r="827" ht="19.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</row>
    <row r="828" ht="19.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</row>
    <row r="829" ht="19.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</row>
    <row r="830" ht="19.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</row>
    <row r="831" ht="19.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</row>
    <row r="832" ht="19.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</row>
    <row r="833" ht="19.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</row>
    <row r="834" ht="19.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</row>
    <row r="835" ht="19.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</row>
    <row r="836" ht="19.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</row>
    <row r="837" ht="19.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</row>
    <row r="838" ht="19.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</row>
    <row r="839" ht="19.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</row>
    <row r="840" ht="19.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</row>
    <row r="841" ht="19.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</row>
    <row r="842" ht="19.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</row>
    <row r="843" ht="19.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</row>
    <row r="844" ht="19.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</row>
    <row r="845" ht="19.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</row>
    <row r="846" ht="19.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</row>
    <row r="847" ht="19.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</row>
    <row r="848" ht="19.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</row>
    <row r="849" ht="19.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</row>
    <row r="850" ht="19.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</row>
    <row r="851" ht="19.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</row>
    <row r="852" ht="19.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  <c r="AA852" s="37"/>
      <c r="AB852" s="37"/>
      <c r="AC852" s="37"/>
    </row>
    <row r="853" ht="19.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</row>
    <row r="854" ht="19.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  <c r="AA854" s="37"/>
      <c r="AB854" s="37"/>
      <c r="AC854" s="37"/>
    </row>
    <row r="855" ht="19.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  <c r="AA855" s="37"/>
      <c r="AB855" s="37"/>
      <c r="AC855" s="37"/>
    </row>
    <row r="856" ht="19.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  <c r="AA856" s="37"/>
      <c r="AB856" s="37"/>
      <c r="AC856" s="37"/>
    </row>
    <row r="857" ht="19.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  <c r="AA857" s="37"/>
      <c r="AB857" s="37"/>
      <c r="AC857" s="37"/>
    </row>
    <row r="858" ht="19.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</row>
    <row r="859" ht="19.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</row>
    <row r="860" ht="19.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  <c r="AA860" s="37"/>
      <c r="AB860" s="37"/>
      <c r="AC860" s="37"/>
    </row>
    <row r="861" ht="19.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</row>
    <row r="862" ht="19.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</row>
    <row r="863" ht="19.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</row>
    <row r="864" ht="19.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</row>
    <row r="865" ht="19.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</row>
    <row r="866" ht="19.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  <c r="AA866" s="37"/>
      <c r="AB866" s="37"/>
      <c r="AC866" s="37"/>
    </row>
    <row r="867" ht="19.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</row>
    <row r="868" ht="19.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  <c r="AA868" s="37"/>
      <c r="AB868" s="37"/>
      <c r="AC868" s="37"/>
    </row>
    <row r="869" ht="19.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</row>
    <row r="870" ht="19.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</row>
    <row r="871" ht="19.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</row>
    <row r="872" ht="19.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  <c r="AA872" s="37"/>
      <c r="AB872" s="37"/>
      <c r="AC872" s="37"/>
    </row>
    <row r="873" ht="19.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  <c r="AA873" s="37"/>
      <c r="AB873" s="37"/>
      <c r="AC873" s="37"/>
    </row>
    <row r="874" ht="19.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  <c r="AA874" s="37"/>
      <c r="AB874" s="37"/>
      <c r="AC874" s="37"/>
    </row>
    <row r="875" ht="19.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  <c r="AA875" s="37"/>
      <c r="AB875" s="37"/>
      <c r="AC875" s="37"/>
    </row>
    <row r="876" ht="19.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</row>
    <row r="877" ht="19.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</row>
    <row r="878" ht="19.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  <c r="AA878" s="37"/>
      <c r="AB878" s="37"/>
      <c r="AC878" s="37"/>
    </row>
    <row r="879" ht="19.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  <c r="AA879" s="37"/>
      <c r="AB879" s="37"/>
      <c r="AC879" s="37"/>
    </row>
    <row r="880" ht="19.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  <c r="AC880" s="37"/>
    </row>
    <row r="881" ht="19.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  <c r="AA881" s="37"/>
      <c r="AB881" s="37"/>
      <c r="AC881" s="37"/>
    </row>
    <row r="882" ht="19.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  <c r="AA882" s="37"/>
      <c r="AB882" s="37"/>
      <c r="AC882" s="37"/>
    </row>
    <row r="883" ht="19.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  <c r="AA883" s="37"/>
      <c r="AB883" s="37"/>
      <c r="AC883" s="37"/>
    </row>
    <row r="884" ht="19.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</row>
    <row r="885" ht="19.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</row>
    <row r="886" ht="19.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</row>
    <row r="887" ht="19.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  <c r="AA887" s="37"/>
      <c r="AB887" s="37"/>
      <c r="AC887" s="37"/>
    </row>
    <row r="888" ht="19.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  <c r="AA888" s="37"/>
      <c r="AB888" s="37"/>
      <c r="AC888" s="37"/>
    </row>
    <row r="889" ht="19.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  <c r="AA889" s="37"/>
      <c r="AB889" s="37"/>
      <c r="AC889" s="37"/>
    </row>
    <row r="890" ht="19.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</row>
    <row r="891" ht="19.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</row>
    <row r="892" ht="19.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  <c r="AA892" s="37"/>
      <c r="AB892" s="37"/>
      <c r="AC892" s="37"/>
    </row>
    <row r="893" ht="19.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</row>
    <row r="894" ht="19.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</row>
    <row r="895" ht="19.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  <c r="AA895" s="37"/>
      <c r="AB895" s="37"/>
      <c r="AC895" s="37"/>
    </row>
    <row r="896" ht="19.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</row>
    <row r="897" ht="19.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  <c r="AA897" s="37"/>
      <c r="AB897" s="37"/>
      <c r="AC897" s="37"/>
    </row>
    <row r="898" ht="19.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  <c r="AA898" s="37"/>
      <c r="AB898" s="37"/>
      <c r="AC898" s="37"/>
    </row>
    <row r="899" ht="19.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</row>
    <row r="900" ht="19.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  <c r="AA900" s="37"/>
      <c r="AB900" s="37"/>
      <c r="AC900" s="37"/>
    </row>
    <row r="901" ht="19.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</row>
    <row r="902" ht="19.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  <c r="AA902" s="37"/>
      <c r="AB902" s="37"/>
      <c r="AC902" s="37"/>
    </row>
    <row r="903" ht="19.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  <c r="AA903" s="37"/>
      <c r="AB903" s="37"/>
      <c r="AC903" s="37"/>
    </row>
    <row r="904" ht="19.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</row>
    <row r="905" ht="19.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  <c r="AA905" s="37"/>
      <c r="AB905" s="37"/>
      <c r="AC905" s="37"/>
    </row>
    <row r="906" ht="19.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  <c r="AA906" s="37"/>
      <c r="AB906" s="37"/>
      <c r="AC906" s="37"/>
    </row>
    <row r="907" ht="19.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  <c r="AA907" s="37"/>
      <c r="AB907" s="37"/>
      <c r="AC907" s="37"/>
    </row>
    <row r="908" ht="19.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</row>
    <row r="909" ht="19.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</row>
    <row r="910" ht="19.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</row>
    <row r="911" ht="19.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</row>
    <row r="912" ht="19.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  <c r="AA912" s="37"/>
      <c r="AB912" s="37"/>
      <c r="AC912" s="37"/>
    </row>
    <row r="913" ht="19.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  <c r="AA913" s="37"/>
      <c r="AB913" s="37"/>
      <c r="AC913" s="37"/>
    </row>
    <row r="914" ht="19.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</row>
    <row r="915" ht="19.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</row>
    <row r="916" ht="19.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  <c r="AA916" s="37"/>
      <c r="AB916" s="37"/>
      <c r="AC916" s="37"/>
    </row>
    <row r="917" ht="19.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</row>
    <row r="918" ht="19.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</row>
    <row r="919" ht="19.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  <c r="AA919" s="37"/>
      <c r="AB919" s="37"/>
      <c r="AC919" s="37"/>
    </row>
    <row r="920" ht="19.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  <c r="AA920" s="37"/>
      <c r="AB920" s="37"/>
      <c r="AC920" s="37"/>
    </row>
    <row r="921" ht="19.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</row>
    <row r="922" ht="19.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</row>
    <row r="923" ht="19.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</row>
    <row r="924" ht="19.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</row>
    <row r="925" ht="19.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</row>
    <row r="926" ht="19.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</row>
    <row r="927" ht="19.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  <c r="AA927" s="37"/>
      <c r="AB927" s="37"/>
      <c r="AC927" s="37"/>
    </row>
    <row r="928" ht="19.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</row>
    <row r="929" ht="19.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</row>
    <row r="930" ht="19.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  <c r="AA930" s="37"/>
      <c r="AB930" s="37"/>
      <c r="AC930" s="37"/>
    </row>
    <row r="931" ht="19.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7"/>
    </row>
    <row r="932" ht="19.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  <c r="AA932" s="37"/>
      <c r="AB932" s="37"/>
      <c r="AC932" s="37"/>
    </row>
    <row r="933" ht="19.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  <c r="AA933" s="37"/>
      <c r="AB933" s="37"/>
      <c r="AC933" s="37"/>
    </row>
    <row r="934" ht="19.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</row>
    <row r="935" ht="19.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  <c r="AA935" s="37"/>
      <c r="AB935" s="37"/>
      <c r="AC935" s="37"/>
    </row>
    <row r="936" ht="19.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</row>
    <row r="937" ht="19.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  <c r="AA937" s="37"/>
      <c r="AB937" s="37"/>
      <c r="AC937" s="37"/>
    </row>
    <row r="938" ht="19.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</row>
    <row r="939" ht="19.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</row>
    <row r="940" ht="19.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  <c r="AA940" s="37"/>
      <c r="AB940" s="37"/>
      <c r="AC940" s="37"/>
    </row>
    <row r="941" ht="19.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  <c r="AA941" s="37"/>
      <c r="AB941" s="37"/>
      <c r="AC941" s="37"/>
    </row>
    <row r="942" ht="19.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  <c r="AA942" s="37"/>
      <c r="AB942" s="37"/>
      <c r="AC942" s="37"/>
    </row>
    <row r="943" ht="19.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  <c r="AA943" s="37"/>
      <c r="AB943" s="37"/>
      <c r="AC943" s="37"/>
    </row>
    <row r="944" ht="19.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  <c r="AA944" s="37"/>
      <c r="AB944" s="37"/>
      <c r="AC944" s="37"/>
    </row>
    <row r="945" ht="19.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</row>
    <row r="946" ht="19.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  <c r="AA946" s="37"/>
      <c r="AB946" s="37"/>
      <c r="AC946" s="37"/>
    </row>
    <row r="947" ht="19.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</row>
    <row r="948" ht="19.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</row>
    <row r="949" ht="19.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  <c r="AA949" s="37"/>
      <c r="AB949" s="37"/>
      <c r="AC949" s="37"/>
    </row>
    <row r="950" ht="19.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  <c r="AA950" s="37"/>
      <c r="AB950" s="37"/>
      <c r="AC950" s="37"/>
    </row>
    <row r="951" ht="19.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  <c r="AA951" s="37"/>
      <c r="AB951" s="37"/>
      <c r="AC951" s="37"/>
    </row>
    <row r="952" ht="19.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  <c r="AA952" s="37"/>
      <c r="AB952" s="37"/>
      <c r="AC952" s="37"/>
    </row>
    <row r="953" ht="19.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</row>
    <row r="954" ht="19.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  <c r="AA954" s="37"/>
      <c r="AB954" s="37"/>
      <c r="AC954" s="37"/>
    </row>
    <row r="955" ht="19.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  <c r="AA955" s="37"/>
      <c r="AB955" s="37"/>
      <c r="AC955" s="37"/>
    </row>
    <row r="956" ht="19.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  <c r="AA956" s="37"/>
      <c r="AB956" s="37"/>
      <c r="AC956" s="37"/>
    </row>
    <row r="957" ht="19.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  <c r="AA957" s="37"/>
      <c r="AB957" s="37"/>
      <c r="AC957" s="37"/>
    </row>
    <row r="958" ht="19.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</row>
    <row r="959" ht="19.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</row>
    <row r="960" ht="19.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  <c r="AA960" s="37"/>
      <c r="AB960" s="37"/>
      <c r="AC960" s="37"/>
    </row>
    <row r="961" ht="19.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  <c r="AA961" s="37"/>
      <c r="AB961" s="37"/>
      <c r="AC961" s="37"/>
    </row>
    <row r="962" ht="19.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  <c r="AA962" s="37"/>
      <c r="AB962" s="37"/>
      <c r="AC962" s="37"/>
    </row>
    <row r="963" ht="19.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</row>
    <row r="964" ht="19.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  <c r="AA964" s="37"/>
      <c r="AB964" s="37"/>
      <c r="AC964" s="37"/>
    </row>
    <row r="965" ht="19.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</row>
    <row r="966" ht="19.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</row>
    <row r="967" ht="19.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</row>
    <row r="968" ht="19.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</row>
    <row r="969" ht="19.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</row>
    <row r="970" ht="19.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  <c r="AA970" s="37"/>
      <c r="AB970" s="37"/>
      <c r="AC970" s="37"/>
    </row>
    <row r="971" ht="19.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  <c r="AA971" s="37"/>
      <c r="AB971" s="37"/>
      <c r="AC971" s="37"/>
    </row>
    <row r="972" ht="19.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</row>
    <row r="973" ht="19.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</row>
    <row r="974" ht="19.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  <c r="AA974" s="37"/>
      <c r="AB974" s="37"/>
      <c r="AC974" s="37"/>
    </row>
    <row r="975" ht="19.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</row>
    <row r="976" ht="19.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</row>
    <row r="977" ht="19.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</row>
    <row r="978" ht="19.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  <c r="AA978" s="37"/>
      <c r="AB978" s="37"/>
      <c r="AC978" s="37"/>
    </row>
    <row r="979" ht="19.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</row>
    <row r="980" ht="19.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  <c r="AA980" s="37"/>
      <c r="AB980" s="37"/>
      <c r="AC980" s="37"/>
    </row>
    <row r="981" ht="19.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</row>
    <row r="982" ht="19.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</row>
    <row r="983" ht="19.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</row>
    <row r="984" ht="19.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  <c r="AA984" s="37"/>
      <c r="AB984" s="37"/>
      <c r="AC984" s="37"/>
    </row>
    <row r="985" ht="19.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</row>
    <row r="986" ht="19.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  <c r="AA986" s="37"/>
      <c r="AB986" s="37"/>
      <c r="AC986" s="37"/>
    </row>
    <row r="987" ht="19.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  <c r="AA987" s="37"/>
      <c r="AB987" s="37"/>
      <c r="AC987" s="37"/>
    </row>
    <row r="988" ht="19.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</row>
    <row r="989" ht="19.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</row>
    <row r="990" ht="19.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7"/>
    </row>
    <row r="991" ht="19.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</row>
    <row r="992" ht="19.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</row>
    <row r="993" ht="19.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</row>
    <row r="994" ht="19.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</row>
    <row r="995" ht="19.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</row>
    <row r="996" ht="19.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  <c r="AA996" s="37"/>
      <c r="AB996" s="37"/>
      <c r="AC996" s="37"/>
    </row>
    <row r="997" ht="19.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</row>
  </sheetData>
  <mergeCells count="18">
    <mergeCell ref="V1:AB2"/>
    <mergeCell ref="A2:K2"/>
    <mergeCell ref="B3:J3"/>
    <mergeCell ref="A10:K10"/>
    <mergeCell ref="B11:J11"/>
    <mergeCell ref="A18:K18"/>
    <mergeCell ref="B19:J19"/>
    <mergeCell ref="A70:K70"/>
    <mergeCell ref="A80:K80"/>
    <mergeCell ref="A90:K90"/>
    <mergeCell ref="B91:J91"/>
    <mergeCell ref="A26:K26"/>
    <mergeCell ref="B27:J27"/>
    <mergeCell ref="A35:K35"/>
    <mergeCell ref="B36:J36"/>
    <mergeCell ref="A44:K44"/>
    <mergeCell ref="A53:K53"/>
    <mergeCell ref="A60:K60"/>
  </mergeCells>
  <conditionalFormatting sqref="B6:K7">
    <cfRule type="cellIs" dxfId="0" priority="1" operator="lessThan">
      <formula>3</formula>
    </cfRule>
  </conditionalFormatting>
  <conditionalFormatting sqref="B14:K15">
    <cfRule type="cellIs" dxfId="0" priority="2" operator="lessThan">
      <formula>3</formula>
    </cfRule>
  </conditionalFormatting>
  <conditionalFormatting sqref="B22:K23">
    <cfRule type="cellIs" dxfId="0" priority="3" operator="lessThan">
      <formula>3</formula>
    </cfRule>
  </conditionalFormatting>
  <conditionalFormatting sqref="B39:K41">
    <cfRule type="cellIs" dxfId="0" priority="4" operator="lessThan">
      <formula>3</formula>
    </cfRule>
  </conditionalFormatting>
  <conditionalFormatting sqref="B46:J51 K46:K50">
    <cfRule type="cellIs" dxfId="0" priority="5" operator="lessThan">
      <formula>3</formula>
    </cfRule>
  </conditionalFormatting>
  <conditionalFormatting sqref="B55:K57">
    <cfRule type="cellIs" dxfId="0" priority="6" operator="lessThan">
      <formula>3</formula>
    </cfRule>
  </conditionalFormatting>
  <conditionalFormatting sqref="B62:K67">
    <cfRule type="cellIs" dxfId="0" priority="7" operator="lessThan">
      <formula>3</formula>
    </cfRule>
  </conditionalFormatting>
  <conditionalFormatting sqref="B72:K77">
    <cfRule type="cellIs" dxfId="0" priority="8" operator="lessThan">
      <formula>3</formula>
    </cfRule>
  </conditionalFormatting>
  <conditionalFormatting sqref="B82:K87">
    <cfRule type="cellIs" dxfId="0" priority="9" operator="lessThan">
      <formula>3</formula>
    </cfRule>
  </conditionalFormatting>
  <conditionalFormatting sqref="B94:K100">
    <cfRule type="cellIs" dxfId="0" priority="10" operator="lessThan">
      <formula>3</formula>
    </cfRule>
  </conditionalFormatting>
  <conditionalFormatting sqref="B30:L31">
    <cfRule type="cellIs" dxfId="0" priority="11" operator="lessThan">
      <formula>3</formula>
    </cfRule>
  </conditionalFormatting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21.71"/>
    <col customWidth="1" min="2" max="6" width="14.43"/>
    <col customWidth="1" min="18" max="18" width="22.0"/>
  </cols>
  <sheetData>
    <row r="1">
      <c r="A1" s="310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70"/>
      <c r="R1" s="311"/>
      <c r="S1" s="312"/>
      <c r="T1" s="312"/>
      <c r="U1" s="312"/>
      <c r="V1" s="312"/>
      <c r="W1" s="312"/>
      <c r="X1" s="312"/>
      <c r="Y1" s="312"/>
      <c r="Z1" s="312"/>
      <c r="AA1" s="312"/>
      <c r="AB1" s="312"/>
      <c r="AC1" s="312"/>
      <c r="AD1" s="312"/>
      <c r="AE1" s="312"/>
      <c r="AF1" s="312"/>
      <c r="AG1" s="312"/>
      <c r="AH1" s="312"/>
      <c r="AI1" s="312"/>
      <c r="AJ1" s="312"/>
      <c r="AK1" s="313"/>
    </row>
    <row r="2">
      <c r="A2" s="284"/>
      <c r="B2" s="114" t="s">
        <v>2</v>
      </c>
      <c r="C2" s="54"/>
      <c r="D2" s="54"/>
      <c r="E2" s="54"/>
      <c r="F2" s="54"/>
      <c r="G2" s="54"/>
      <c r="H2" s="54"/>
      <c r="I2" s="54"/>
      <c r="J2" s="70"/>
      <c r="K2" s="157"/>
      <c r="R2" s="311"/>
      <c r="S2" s="312"/>
      <c r="T2" s="312"/>
      <c r="U2" s="312"/>
      <c r="V2" s="312"/>
      <c r="W2" s="312"/>
      <c r="X2" s="312"/>
      <c r="Y2" s="312"/>
      <c r="Z2" s="312"/>
      <c r="AA2" s="312"/>
      <c r="AB2" s="312"/>
      <c r="AC2" s="312"/>
      <c r="AD2" s="312"/>
      <c r="AE2" s="312"/>
      <c r="AF2" s="312"/>
      <c r="AG2" s="312"/>
      <c r="AH2" s="312"/>
      <c r="AI2" s="312"/>
      <c r="AJ2" s="312"/>
      <c r="AK2" s="313"/>
    </row>
    <row r="3">
      <c r="A3" s="284" t="s">
        <v>93</v>
      </c>
      <c r="B3" s="118">
        <v>28.0</v>
      </c>
      <c r="C3" s="118">
        <v>30.0</v>
      </c>
      <c r="D3" s="118">
        <v>32.0</v>
      </c>
      <c r="E3" s="118">
        <v>34.0</v>
      </c>
      <c r="F3" s="118">
        <v>36.0</v>
      </c>
      <c r="G3" s="118">
        <v>38.0</v>
      </c>
      <c r="H3" s="118">
        <v>40.0</v>
      </c>
      <c r="I3" s="118"/>
      <c r="J3" s="118"/>
      <c r="K3" s="157"/>
      <c r="R3" s="311"/>
      <c r="S3" s="312"/>
      <c r="T3" s="312"/>
      <c r="U3" s="312"/>
      <c r="V3" s="312"/>
      <c r="W3" s="312"/>
      <c r="X3" s="312"/>
      <c r="Y3" s="312"/>
      <c r="Z3" s="312"/>
      <c r="AA3" s="312"/>
      <c r="AB3" s="312"/>
      <c r="AC3" s="312"/>
      <c r="AD3" s="312"/>
      <c r="AE3" s="312"/>
      <c r="AF3" s="312"/>
      <c r="AG3" s="312"/>
      <c r="AH3" s="312"/>
      <c r="AI3" s="312"/>
      <c r="AJ3" s="312"/>
      <c r="AK3" s="313"/>
    </row>
    <row r="4">
      <c r="A4" s="284"/>
      <c r="B4" s="131" t="s">
        <v>5</v>
      </c>
      <c r="C4" s="131" t="s">
        <v>49</v>
      </c>
      <c r="D4" s="131" t="s">
        <v>50</v>
      </c>
      <c r="E4" s="131" t="s">
        <v>51</v>
      </c>
      <c r="F4" s="131" t="s">
        <v>52</v>
      </c>
      <c r="G4" s="131" t="s">
        <v>10</v>
      </c>
      <c r="H4" s="131" t="s">
        <v>11</v>
      </c>
      <c r="I4" s="131" t="s">
        <v>12</v>
      </c>
      <c r="J4" s="131" t="s">
        <v>13</v>
      </c>
      <c r="K4" s="314" t="s">
        <v>53</v>
      </c>
      <c r="R4" s="311"/>
      <c r="S4" s="312"/>
      <c r="T4" s="312"/>
      <c r="U4" s="312"/>
      <c r="V4" s="312"/>
      <c r="W4" s="312"/>
      <c r="X4" s="312"/>
      <c r="Y4" s="312"/>
      <c r="Z4" s="312"/>
      <c r="AA4" s="312"/>
      <c r="AB4" s="312"/>
      <c r="AC4" s="312"/>
      <c r="AD4" s="312"/>
      <c r="AE4" s="312"/>
      <c r="AF4" s="312"/>
      <c r="AG4" s="312"/>
      <c r="AH4" s="312"/>
      <c r="AI4" s="312"/>
      <c r="AJ4" s="312"/>
      <c r="AK4" s="313"/>
    </row>
    <row r="5">
      <c r="A5" s="80" t="s">
        <v>111</v>
      </c>
      <c r="B5" s="118"/>
      <c r="C5" s="118"/>
      <c r="D5" s="118">
        <f>1-1</f>
        <v>0</v>
      </c>
      <c r="E5" s="118"/>
      <c r="F5" s="118"/>
      <c r="G5" s="118"/>
      <c r="H5" s="118"/>
      <c r="I5" s="118"/>
      <c r="J5" s="118"/>
      <c r="K5" s="157">
        <f>SUM(B5:J5)</f>
        <v>0</v>
      </c>
      <c r="R5" s="311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12"/>
      <c r="AD5" s="312"/>
      <c r="AE5" s="312"/>
      <c r="AF5" s="312"/>
      <c r="AG5" s="312"/>
      <c r="AH5" s="312"/>
      <c r="AI5" s="312"/>
      <c r="AJ5" s="312"/>
      <c r="AK5" s="313"/>
    </row>
    <row r="6">
      <c r="A6" s="315"/>
      <c r="B6" s="315"/>
      <c r="C6" s="315"/>
      <c r="D6" s="315"/>
      <c r="E6" s="315"/>
      <c r="F6" s="315"/>
      <c r="G6" s="315"/>
      <c r="H6" s="315"/>
      <c r="I6" s="315"/>
      <c r="J6" s="315"/>
      <c r="K6" s="315"/>
      <c r="R6" s="311"/>
      <c r="S6" s="312"/>
      <c r="T6" s="312"/>
      <c r="U6" s="312"/>
      <c r="V6" s="312"/>
      <c r="W6" s="312"/>
      <c r="X6" s="312"/>
      <c r="Y6" s="312"/>
      <c r="Z6" s="312"/>
      <c r="AA6" s="312"/>
      <c r="AB6" s="312"/>
      <c r="AC6" s="312"/>
      <c r="AD6" s="312"/>
      <c r="AE6" s="312"/>
      <c r="AF6" s="312"/>
      <c r="AG6" s="312"/>
      <c r="AH6" s="312"/>
      <c r="AI6" s="312"/>
      <c r="AJ6" s="312"/>
      <c r="AK6" s="313"/>
    </row>
    <row r="7">
      <c r="A7" s="315"/>
      <c r="B7" s="315"/>
      <c r="C7" s="315"/>
      <c r="D7" s="315"/>
      <c r="E7" s="315"/>
      <c r="F7" s="315"/>
      <c r="G7" s="315"/>
      <c r="H7" s="315"/>
      <c r="I7" s="315"/>
      <c r="J7" s="315"/>
      <c r="K7" s="315"/>
      <c r="R7" s="311"/>
      <c r="S7" s="312"/>
      <c r="T7" s="312"/>
      <c r="U7" s="312"/>
      <c r="V7" s="312"/>
      <c r="W7" s="312"/>
      <c r="X7" s="312"/>
      <c r="Y7" s="312"/>
      <c r="Z7" s="312"/>
      <c r="AA7" s="312"/>
      <c r="AB7" s="312"/>
      <c r="AC7" s="312"/>
      <c r="AD7" s="312"/>
      <c r="AE7" s="312"/>
      <c r="AF7" s="312"/>
      <c r="AG7" s="312"/>
      <c r="AH7" s="312"/>
      <c r="AI7" s="312"/>
      <c r="AJ7" s="312"/>
      <c r="AK7" s="313"/>
    </row>
    <row r="8">
      <c r="A8" s="316" t="s">
        <v>159</v>
      </c>
      <c r="B8" s="54"/>
      <c r="C8" s="54"/>
      <c r="D8" s="54"/>
      <c r="E8" s="54"/>
      <c r="F8" s="54"/>
      <c r="G8" s="54"/>
      <c r="H8" s="54"/>
      <c r="I8" s="54"/>
      <c r="J8" s="54"/>
      <c r="K8" s="70"/>
      <c r="R8" s="311"/>
      <c r="S8" s="317" t="s">
        <v>160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  <c r="AK8" s="313"/>
    </row>
    <row r="9">
      <c r="A9" s="203"/>
      <c r="B9" s="114" t="s">
        <v>2</v>
      </c>
      <c r="C9" s="54"/>
      <c r="D9" s="54"/>
      <c r="E9" s="54"/>
      <c r="F9" s="54"/>
      <c r="G9" s="54"/>
      <c r="H9" s="54"/>
      <c r="I9" s="54"/>
      <c r="J9" s="70"/>
      <c r="K9" s="157"/>
      <c r="R9" s="311"/>
      <c r="S9" s="318" t="s">
        <v>2</v>
      </c>
      <c r="T9" s="15"/>
      <c r="U9" s="15"/>
      <c r="V9" s="15"/>
      <c r="W9" s="15"/>
      <c r="X9" s="15"/>
      <c r="Y9" s="15"/>
      <c r="Z9" s="15"/>
      <c r="AA9" s="16"/>
      <c r="AB9" s="319" t="s">
        <v>3</v>
      </c>
      <c r="AC9" s="15"/>
      <c r="AD9" s="15"/>
      <c r="AE9" s="15"/>
      <c r="AF9" s="15"/>
      <c r="AG9" s="15"/>
      <c r="AH9" s="15"/>
      <c r="AI9" s="15"/>
      <c r="AJ9" s="16"/>
      <c r="AK9" s="313" t="s">
        <v>0</v>
      </c>
    </row>
    <row r="10">
      <c r="A10" s="284" t="s">
        <v>93</v>
      </c>
      <c r="B10" s="118">
        <v>28.0</v>
      </c>
      <c r="C10" s="118">
        <v>30.0</v>
      </c>
      <c r="D10" s="118">
        <v>32.0</v>
      </c>
      <c r="E10" s="118">
        <v>34.0</v>
      </c>
      <c r="F10" s="118">
        <v>36.0</v>
      </c>
      <c r="G10" s="118">
        <v>38.0</v>
      </c>
      <c r="H10" s="118">
        <v>40.0</v>
      </c>
      <c r="I10" s="118"/>
      <c r="J10" s="118"/>
      <c r="K10" s="157"/>
      <c r="R10" s="320" t="s">
        <v>4</v>
      </c>
      <c r="S10" s="321" t="s">
        <v>5</v>
      </c>
      <c r="T10" s="322" t="s">
        <v>6</v>
      </c>
      <c r="U10" s="322" t="s">
        <v>7</v>
      </c>
      <c r="V10" s="322" t="s">
        <v>8</v>
      </c>
      <c r="W10" s="322" t="s">
        <v>9</v>
      </c>
      <c r="X10" s="322" t="s">
        <v>10</v>
      </c>
      <c r="Y10" s="322" t="s">
        <v>11</v>
      </c>
      <c r="Z10" s="322" t="s">
        <v>12</v>
      </c>
      <c r="AA10" s="322" t="s">
        <v>13</v>
      </c>
      <c r="AB10" s="323" t="s">
        <v>5</v>
      </c>
      <c r="AC10" s="323" t="s">
        <v>6</v>
      </c>
      <c r="AD10" s="323" t="s">
        <v>7</v>
      </c>
      <c r="AE10" s="323" t="s">
        <v>8</v>
      </c>
      <c r="AF10" s="323" t="s">
        <v>9</v>
      </c>
      <c r="AG10" s="323" t="s">
        <v>10</v>
      </c>
      <c r="AH10" s="323" t="s">
        <v>11</v>
      </c>
      <c r="AI10" s="323" t="s">
        <v>12</v>
      </c>
      <c r="AJ10" s="324" t="s">
        <v>13</v>
      </c>
      <c r="AK10" s="313"/>
    </row>
    <row r="11">
      <c r="A11" s="325" t="s">
        <v>161</v>
      </c>
      <c r="B11" s="131" t="s">
        <v>5</v>
      </c>
      <c r="C11" s="131" t="s">
        <v>49</v>
      </c>
      <c r="D11" s="131" t="s">
        <v>50</v>
      </c>
      <c r="E11" s="131" t="s">
        <v>51</v>
      </c>
      <c r="F11" s="131" t="s">
        <v>52</v>
      </c>
      <c r="G11" s="131" t="s">
        <v>10</v>
      </c>
      <c r="H11" s="131" t="s">
        <v>11</v>
      </c>
      <c r="I11" s="131" t="s">
        <v>12</v>
      </c>
      <c r="J11" s="131" t="s">
        <v>13</v>
      </c>
      <c r="K11" s="314" t="s">
        <v>53</v>
      </c>
      <c r="R11" s="326" t="s">
        <v>14</v>
      </c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7"/>
      <c r="AF11" s="327"/>
      <c r="AG11" s="327"/>
      <c r="AH11" s="327"/>
      <c r="AI11" s="327"/>
      <c r="AJ11" s="327"/>
      <c r="AK11" s="328"/>
    </row>
    <row r="12">
      <c r="A12" s="80" t="s">
        <v>74</v>
      </c>
      <c r="B12" s="329">
        <f>1</f>
        <v>1</v>
      </c>
      <c r="C12" s="329"/>
      <c r="D12" s="329"/>
      <c r="E12" s="330"/>
      <c r="F12" s="329"/>
      <c r="G12" s="329"/>
      <c r="H12" s="137"/>
      <c r="I12" s="329"/>
      <c r="J12" s="329"/>
      <c r="K12" s="137"/>
      <c r="R12" s="326" t="s">
        <v>15</v>
      </c>
      <c r="S12" s="327"/>
      <c r="T12" s="327"/>
      <c r="U12" s="327"/>
      <c r="V12" s="327"/>
      <c r="W12" s="327"/>
      <c r="X12" s="327"/>
      <c r="Y12" s="327"/>
      <c r="Z12" s="327"/>
      <c r="AA12" s="327"/>
      <c r="AB12" s="327"/>
      <c r="AC12" s="327"/>
      <c r="AD12" s="327"/>
      <c r="AE12" s="327"/>
      <c r="AF12" s="327"/>
      <c r="AG12" s="327"/>
      <c r="AH12" s="327"/>
      <c r="AI12" s="331"/>
      <c r="AJ12" s="327"/>
      <c r="AK12" s="328"/>
    </row>
    <row r="13">
      <c r="A13" s="154" t="s">
        <v>15</v>
      </c>
      <c r="B13" s="329"/>
      <c r="C13" s="329"/>
      <c r="D13" s="330"/>
      <c r="E13" s="329"/>
      <c r="F13" s="329"/>
      <c r="G13" s="329"/>
      <c r="H13" s="329"/>
      <c r="I13" s="329"/>
      <c r="J13" s="329"/>
      <c r="K13" s="137"/>
      <c r="R13" s="326" t="s">
        <v>16</v>
      </c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>
        <f>1</f>
        <v>1</v>
      </c>
      <c r="AE13" s="327"/>
      <c r="AF13" s="327"/>
      <c r="AG13" s="327"/>
      <c r="AH13" s="327"/>
      <c r="AI13" s="327"/>
      <c r="AJ13" s="327"/>
      <c r="AK13" s="328"/>
    </row>
    <row r="14">
      <c r="A14" s="80" t="s">
        <v>102</v>
      </c>
      <c r="B14" s="329"/>
      <c r="C14" s="329"/>
      <c r="D14" s="329"/>
      <c r="E14" s="329"/>
      <c r="F14" s="329">
        <f>1</f>
        <v>1</v>
      </c>
      <c r="G14" s="329"/>
      <c r="H14" s="329"/>
      <c r="I14" s="329"/>
      <c r="J14" s="330"/>
      <c r="K14" s="137"/>
      <c r="R14" s="326" t="s">
        <v>17</v>
      </c>
      <c r="S14" s="327"/>
      <c r="T14" s="327"/>
      <c r="U14" s="327"/>
      <c r="V14" s="327"/>
      <c r="W14" s="332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328"/>
    </row>
    <row r="15">
      <c r="A15" s="154" t="s">
        <v>103</v>
      </c>
      <c r="B15" s="329"/>
      <c r="C15" s="329"/>
      <c r="D15" s="329"/>
      <c r="E15" s="329"/>
      <c r="F15" s="329"/>
      <c r="G15" s="329"/>
      <c r="H15" s="329"/>
      <c r="I15" s="329"/>
      <c r="J15" s="329"/>
      <c r="K15" s="137"/>
      <c r="R15" s="326" t="s">
        <v>18</v>
      </c>
      <c r="S15" s="327"/>
      <c r="T15" s="327"/>
      <c r="U15" s="327"/>
      <c r="V15" s="327"/>
      <c r="W15" s="327"/>
      <c r="X15" s="327"/>
      <c r="Y15" s="327"/>
      <c r="Z15" s="327"/>
      <c r="AA15" s="327"/>
      <c r="AB15" s="327">
        <f>1</f>
        <v>1</v>
      </c>
      <c r="AC15" s="327"/>
      <c r="AD15" s="333"/>
      <c r="AE15" s="327"/>
      <c r="AF15" s="327"/>
      <c r="AG15" s="327"/>
      <c r="AH15" s="327"/>
      <c r="AI15" s="327"/>
      <c r="AJ15" s="327"/>
      <c r="AK15" s="328"/>
    </row>
    <row r="16">
      <c r="A16" s="154" t="s">
        <v>17</v>
      </c>
      <c r="B16" s="329"/>
      <c r="C16" s="329"/>
      <c r="D16" s="329"/>
      <c r="E16" s="329">
        <f>1</f>
        <v>1</v>
      </c>
      <c r="F16" s="329"/>
      <c r="G16" s="329"/>
      <c r="H16" s="329"/>
      <c r="I16" s="329"/>
      <c r="J16" s="329"/>
      <c r="K16" s="137"/>
      <c r="R16" s="326" t="s">
        <v>19</v>
      </c>
      <c r="S16" s="327"/>
      <c r="T16" s="327"/>
      <c r="U16" s="327"/>
      <c r="V16" s="327"/>
      <c r="W16" s="327"/>
      <c r="X16" s="327"/>
      <c r="Y16" s="327"/>
      <c r="Z16" s="327"/>
      <c r="AA16" s="327"/>
      <c r="AB16" s="327"/>
      <c r="AC16" s="327">
        <f t="shared" ref="AC16:AC17" si="1">1</f>
        <v>1</v>
      </c>
      <c r="AD16" s="327"/>
      <c r="AE16" s="327"/>
      <c r="AF16" s="327"/>
      <c r="AG16" s="327"/>
      <c r="AH16" s="327"/>
      <c r="AI16" s="327"/>
      <c r="AJ16" s="327"/>
      <c r="AK16" s="328"/>
    </row>
    <row r="17">
      <c r="A17" s="154" t="s">
        <v>14</v>
      </c>
      <c r="B17" s="329"/>
      <c r="C17" s="329"/>
      <c r="D17" s="329"/>
      <c r="E17" s="329"/>
      <c r="F17" s="330"/>
      <c r="G17" s="329"/>
      <c r="H17" s="329"/>
      <c r="I17" s="329"/>
      <c r="J17" s="329"/>
      <c r="K17" s="137"/>
      <c r="R17" s="326" t="s">
        <v>20</v>
      </c>
      <c r="S17" s="327"/>
      <c r="T17" s="327"/>
      <c r="U17" s="327"/>
      <c r="V17" s="327"/>
      <c r="W17" s="327"/>
      <c r="X17" s="327"/>
      <c r="Y17" s="327"/>
      <c r="Z17" s="327"/>
      <c r="AA17" s="327"/>
      <c r="AB17" s="327"/>
      <c r="AC17" s="327">
        <f t="shared" si="1"/>
        <v>1</v>
      </c>
      <c r="AD17" s="327"/>
      <c r="AE17" s="327"/>
      <c r="AF17" s="327"/>
      <c r="AG17" s="327"/>
      <c r="AH17" s="327"/>
      <c r="AI17" s="327"/>
      <c r="AJ17" s="327"/>
      <c r="AK17" s="328"/>
    </row>
    <row r="18">
      <c r="A18" s="154" t="s">
        <v>21</v>
      </c>
      <c r="B18" s="330"/>
      <c r="C18" s="329"/>
      <c r="D18" s="329">
        <f>1</f>
        <v>1</v>
      </c>
      <c r="E18" s="330"/>
      <c r="F18" s="329"/>
      <c r="G18" s="329"/>
      <c r="H18" s="329"/>
      <c r="I18" s="329"/>
      <c r="J18" s="329"/>
      <c r="K18" s="137"/>
      <c r="R18" s="326" t="s">
        <v>21</v>
      </c>
      <c r="S18" s="334"/>
      <c r="T18" s="334"/>
      <c r="U18" s="334"/>
      <c r="V18" s="334"/>
      <c r="W18" s="334"/>
      <c r="X18" s="334"/>
      <c r="Y18" s="334"/>
      <c r="Z18" s="334"/>
      <c r="AA18" s="335"/>
      <c r="AB18" s="331"/>
      <c r="AC18" s="331"/>
      <c r="AD18" s="331"/>
      <c r="AE18" s="331"/>
      <c r="AF18" s="331"/>
      <c r="AG18" s="331"/>
      <c r="AH18" s="331"/>
      <c r="AI18" s="331"/>
      <c r="AJ18" s="331"/>
      <c r="AK18" s="328"/>
    </row>
    <row r="19">
      <c r="A19" s="154" t="s">
        <v>104</v>
      </c>
      <c r="B19" s="329"/>
      <c r="C19" s="329"/>
      <c r="D19" s="329"/>
      <c r="E19" s="329"/>
      <c r="F19" s="329"/>
      <c r="G19" s="329"/>
      <c r="H19" s="329"/>
      <c r="I19" s="329"/>
      <c r="J19" s="329"/>
      <c r="K19" s="137"/>
      <c r="R19" s="326" t="s">
        <v>22</v>
      </c>
      <c r="S19" s="336"/>
      <c r="T19" s="336"/>
      <c r="U19" s="336"/>
      <c r="V19" s="336"/>
      <c r="W19" s="336"/>
      <c r="X19" s="336"/>
      <c r="Y19" s="336"/>
      <c r="Z19" s="336"/>
      <c r="AA19" s="336"/>
      <c r="AB19" s="327"/>
      <c r="AC19" s="327"/>
      <c r="AD19" s="331"/>
      <c r="AE19" s="331"/>
      <c r="AF19" s="331"/>
      <c r="AG19" s="331"/>
      <c r="AH19" s="331"/>
      <c r="AI19" s="331"/>
      <c r="AJ19" s="331"/>
      <c r="AK19" s="328"/>
    </row>
    <row r="20">
      <c r="A20" s="154" t="s">
        <v>105</v>
      </c>
      <c r="B20" s="329"/>
      <c r="C20" s="329"/>
      <c r="D20" s="329"/>
      <c r="E20" s="329"/>
      <c r="F20" s="329">
        <f>1</f>
        <v>1</v>
      </c>
      <c r="G20" s="329"/>
      <c r="H20" s="329"/>
      <c r="I20" s="329"/>
      <c r="J20" s="329"/>
      <c r="K20" s="137"/>
      <c r="R20" s="326" t="s">
        <v>23</v>
      </c>
      <c r="S20" s="336"/>
      <c r="T20" s="336"/>
      <c r="U20" s="336"/>
      <c r="V20" s="336"/>
      <c r="W20" s="336"/>
      <c r="X20" s="336"/>
      <c r="Y20" s="336"/>
      <c r="Z20" s="336"/>
      <c r="AA20" s="336"/>
      <c r="AB20" s="331"/>
      <c r="AC20" s="331"/>
      <c r="AD20" s="331"/>
      <c r="AE20" s="331"/>
      <c r="AF20" s="331"/>
      <c r="AG20" s="331"/>
      <c r="AH20" s="331"/>
      <c r="AI20" s="331"/>
      <c r="AJ20" s="331"/>
      <c r="AK20" s="328"/>
    </row>
    <row r="21" ht="15.75" customHeight="1">
      <c r="A21" s="154" t="s">
        <v>106</v>
      </c>
      <c r="B21" s="329"/>
      <c r="C21" s="337">
        <f>1</f>
        <v>1</v>
      </c>
      <c r="D21" s="329"/>
      <c r="E21" s="329"/>
      <c r="F21" s="329"/>
      <c r="G21" s="137"/>
      <c r="H21" s="137"/>
      <c r="I21" s="137"/>
      <c r="J21" s="137"/>
      <c r="K21" s="137"/>
      <c r="R21" s="326" t="s">
        <v>24</v>
      </c>
      <c r="S21" s="334"/>
      <c r="T21" s="334"/>
      <c r="U21" s="334"/>
      <c r="V21" s="334"/>
      <c r="W21" s="334"/>
      <c r="X21" s="334"/>
      <c r="Y21" s="334"/>
      <c r="Z21" s="334"/>
      <c r="AA21" s="335"/>
      <c r="AB21" s="327"/>
      <c r="AC21" s="327"/>
      <c r="AD21" s="331"/>
      <c r="AE21" s="331"/>
      <c r="AF21" s="331"/>
      <c r="AG21" s="331"/>
      <c r="AH21" s="331"/>
      <c r="AI21" s="331"/>
      <c r="AJ21" s="331"/>
      <c r="AK21" s="328"/>
    </row>
    <row r="22" ht="15.75" customHeight="1">
      <c r="A22" s="80" t="s">
        <v>27</v>
      </c>
      <c r="B22" s="137"/>
      <c r="C22" s="137">
        <f>1-1</f>
        <v>0</v>
      </c>
      <c r="D22" s="137"/>
      <c r="E22" s="137"/>
      <c r="F22" s="137"/>
      <c r="G22" s="137"/>
      <c r="H22" s="137"/>
      <c r="I22" s="137"/>
      <c r="J22" s="137"/>
      <c r="K22" s="137"/>
      <c r="R22" s="326" t="s">
        <v>25</v>
      </c>
      <c r="S22" s="334"/>
      <c r="T22" s="334"/>
      <c r="U22" s="334"/>
      <c r="V22" s="334">
        <f>1</f>
        <v>1</v>
      </c>
      <c r="W22" s="334"/>
      <c r="X22" s="334"/>
      <c r="Y22" s="334"/>
      <c r="Z22" s="334"/>
      <c r="AA22" s="334"/>
      <c r="AB22" s="327"/>
      <c r="AC22" s="327"/>
      <c r="AD22" s="327"/>
      <c r="AE22" s="327"/>
      <c r="AF22" s="327"/>
      <c r="AG22" s="327"/>
      <c r="AH22" s="327"/>
      <c r="AI22" s="327"/>
      <c r="AJ22" s="327"/>
      <c r="AK22" s="328"/>
    </row>
    <row r="23" ht="15.75" customHeight="1">
      <c r="A23" s="80" t="s">
        <v>107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R23" s="326" t="s">
        <v>26</v>
      </c>
      <c r="S23" s="334"/>
      <c r="T23" s="334"/>
      <c r="U23" s="334"/>
      <c r="V23" s="334"/>
      <c r="W23" s="334"/>
      <c r="X23" s="334"/>
      <c r="Y23" s="334"/>
      <c r="Z23" s="334"/>
      <c r="AA23" s="334"/>
      <c r="AB23" s="331"/>
      <c r="AC23" s="331"/>
      <c r="AD23" s="331">
        <f>1</f>
        <v>1</v>
      </c>
      <c r="AE23" s="331"/>
      <c r="AF23" s="331"/>
      <c r="AG23" s="331"/>
      <c r="AH23" s="331"/>
      <c r="AI23" s="331"/>
      <c r="AJ23" s="331"/>
      <c r="AK23" s="328"/>
    </row>
    <row r="24" ht="15.75" customHeight="1">
      <c r="A24" s="8" t="s">
        <v>109</v>
      </c>
      <c r="B24" s="137"/>
      <c r="C24" s="137"/>
      <c r="D24" s="137">
        <f>1</f>
        <v>1</v>
      </c>
      <c r="E24" s="137"/>
      <c r="F24" s="137"/>
      <c r="G24" s="137"/>
      <c r="H24" s="137"/>
      <c r="I24" s="137"/>
      <c r="J24" s="137"/>
      <c r="K24" s="137"/>
      <c r="R24" s="326" t="s">
        <v>27</v>
      </c>
      <c r="S24" s="334"/>
      <c r="T24" s="334"/>
      <c r="U24" s="334"/>
      <c r="V24" s="334"/>
      <c r="W24" s="334"/>
      <c r="X24" s="334"/>
      <c r="Y24" s="334"/>
      <c r="Z24" s="334"/>
      <c r="AA24" s="334"/>
      <c r="AB24" s="331"/>
      <c r="AC24" s="331"/>
      <c r="AD24" s="331"/>
      <c r="AE24" s="331"/>
      <c r="AF24" s="331"/>
      <c r="AG24" s="331"/>
      <c r="AH24" s="331"/>
      <c r="AI24" s="331"/>
      <c r="AJ24" s="331"/>
      <c r="AK24" s="328"/>
    </row>
    <row r="25" ht="15.75" customHeight="1">
      <c r="A25" s="8"/>
      <c r="B25" s="127"/>
      <c r="C25" s="127"/>
      <c r="D25" s="127"/>
      <c r="E25" s="127"/>
      <c r="F25" s="127"/>
      <c r="G25" s="127"/>
      <c r="H25" s="127"/>
      <c r="I25" s="127"/>
      <c r="J25" s="127"/>
      <c r="K25" s="338">
        <f>SUM(K12:K21)</f>
        <v>0</v>
      </c>
      <c r="R25" s="326" t="s">
        <v>28</v>
      </c>
      <c r="S25" s="334"/>
      <c r="T25" s="334"/>
      <c r="U25" s="334"/>
      <c r="V25" s="334"/>
      <c r="W25" s="334"/>
      <c r="X25" s="334"/>
      <c r="Y25" s="334"/>
      <c r="Z25" s="334"/>
      <c r="AA25" s="334"/>
      <c r="AB25" s="331"/>
      <c r="AC25" s="331"/>
      <c r="AD25" s="331"/>
      <c r="AE25" s="331"/>
      <c r="AF25" s="331"/>
      <c r="AG25" s="331"/>
      <c r="AH25" s="331"/>
      <c r="AI25" s="331"/>
      <c r="AJ25" s="331"/>
      <c r="AK25" s="328"/>
    </row>
    <row r="26" ht="15.75" customHeight="1">
      <c r="A26" s="316" t="s">
        <v>162</v>
      </c>
      <c r="B26" s="54"/>
      <c r="C26" s="54"/>
      <c r="D26" s="54"/>
      <c r="E26" s="54"/>
      <c r="F26" s="54"/>
      <c r="G26" s="54"/>
      <c r="H26" s="54"/>
      <c r="I26" s="54"/>
      <c r="J26" s="54"/>
      <c r="K26" s="70"/>
      <c r="R26" s="326" t="s">
        <v>29</v>
      </c>
      <c r="S26" s="334"/>
      <c r="T26" s="334">
        <f>1</f>
        <v>1</v>
      </c>
      <c r="U26" s="334"/>
      <c r="V26" s="334"/>
      <c r="W26" s="334"/>
      <c r="X26" s="334"/>
      <c r="Y26" s="334"/>
      <c r="Z26" s="334"/>
      <c r="AA26" s="334"/>
      <c r="AB26" s="331"/>
      <c r="AC26" s="331"/>
      <c r="AD26" s="331"/>
      <c r="AE26" s="331"/>
      <c r="AF26" s="331"/>
      <c r="AG26" s="331"/>
      <c r="AH26" s="331"/>
      <c r="AI26" s="331"/>
      <c r="AJ26" s="331"/>
      <c r="AK26" s="328"/>
    </row>
    <row r="27" ht="15.75" customHeight="1">
      <c r="A27" s="339"/>
      <c r="B27" s="114" t="s">
        <v>3</v>
      </c>
      <c r="C27" s="54"/>
      <c r="D27" s="54"/>
      <c r="E27" s="54"/>
      <c r="F27" s="54"/>
      <c r="G27" s="54"/>
      <c r="H27" s="54"/>
      <c r="I27" s="54"/>
      <c r="J27" s="101"/>
      <c r="K27" s="157"/>
      <c r="R27" s="326" t="s">
        <v>30</v>
      </c>
      <c r="S27" s="334"/>
      <c r="T27" s="334"/>
      <c r="U27" s="334">
        <f>1</f>
        <v>1</v>
      </c>
      <c r="V27" s="334"/>
      <c r="W27" s="334"/>
      <c r="X27" s="334"/>
      <c r="Y27" s="334"/>
      <c r="Z27" s="334"/>
      <c r="AA27" s="334"/>
      <c r="AB27" s="331"/>
      <c r="AC27" s="331"/>
      <c r="AD27" s="331"/>
      <c r="AE27" s="331"/>
      <c r="AF27" s="331"/>
      <c r="AG27" s="331"/>
      <c r="AH27" s="331"/>
      <c r="AI27" s="331"/>
      <c r="AJ27" s="340"/>
      <c r="AK27" s="328"/>
    </row>
    <row r="28" ht="15.75" customHeight="1">
      <c r="A28" s="284" t="s">
        <v>93</v>
      </c>
      <c r="B28" s="118">
        <v>28.0</v>
      </c>
      <c r="C28" s="118">
        <v>30.0</v>
      </c>
      <c r="D28" s="118">
        <v>32.0</v>
      </c>
      <c r="E28" s="118">
        <v>34.0</v>
      </c>
      <c r="F28" s="118">
        <v>36.0</v>
      </c>
      <c r="G28" s="118">
        <v>38.0</v>
      </c>
      <c r="H28" s="118">
        <v>40.0</v>
      </c>
      <c r="I28" s="118"/>
      <c r="J28" s="341"/>
      <c r="K28" s="157"/>
      <c r="R28" s="326" t="s">
        <v>31</v>
      </c>
      <c r="S28" s="334"/>
      <c r="T28" s="334"/>
      <c r="U28" s="334"/>
      <c r="V28" s="334"/>
      <c r="W28" s="334"/>
      <c r="X28" s="334"/>
      <c r="Y28" s="334"/>
      <c r="Z28" s="334"/>
      <c r="AA28" s="335"/>
      <c r="AB28" s="331"/>
      <c r="AC28" s="331"/>
      <c r="AD28" s="331"/>
      <c r="AE28" s="331"/>
      <c r="AF28" s="331"/>
      <c r="AG28" s="331"/>
      <c r="AH28" s="331"/>
      <c r="AI28" s="331"/>
      <c r="AJ28" s="331"/>
      <c r="AK28" s="328"/>
    </row>
    <row r="29" ht="15.75" customHeight="1">
      <c r="A29" s="325" t="s">
        <v>161</v>
      </c>
      <c r="B29" s="131" t="s">
        <v>5</v>
      </c>
      <c r="C29" s="103" t="s">
        <v>49</v>
      </c>
      <c r="D29" s="131" t="s">
        <v>50</v>
      </c>
      <c r="E29" s="131" t="s">
        <v>51</v>
      </c>
      <c r="F29" s="131" t="s">
        <v>52</v>
      </c>
      <c r="G29" s="131" t="s">
        <v>10</v>
      </c>
      <c r="H29" s="131" t="s">
        <v>11</v>
      </c>
      <c r="I29" s="131" t="s">
        <v>12</v>
      </c>
      <c r="J29" s="342" t="s">
        <v>13</v>
      </c>
      <c r="K29" s="314" t="s">
        <v>53</v>
      </c>
      <c r="R29" s="326" t="s">
        <v>32</v>
      </c>
      <c r="S29" s="334"/>
      <c r="T29" s="334"/>
      <c r="U29" s="334"/>
      <c r="V29" s="334"/>
      <c r="W29" s="334"/>
      <c r="X29" s="334"/>
      <c r="Y29" s="334"/>
      <c r="Z29" s="334"/>
      <c r="AA29" s="334"/>
      <c r="AB29" s="331"/>
      <c r="AC29" s="331">
        <f>1</f>
        <v>1</v>
      </c>
      <c r="AD29" s="331"/>
      <c r="AE29" s="331"/>
      <c r="AF29" s="331"/>
      <c r="AG29" s="331"/>
      <c r="AH29" s="331"/>
      <c r="AI29" s="331"/>
      <c r="AJ29" s="331"/>
      <c r="AK29" s="328"/>
    </row>
    <row r="30" ht="15.75" customHeight="1">
      <c r="A30" s="80" t="s">
        <v>74</v>
      </c>
      <c r="B30" s="329"/>
      <c r="C30" s="329"/>
      <c r="D30" s="329"/>
      <c r="E30" s="329"/>
      <c r="F30" s="329"/>
      <c r="G30" s="330"/>
      <c r="H30" s="329"/>
      <c r="I30" s="329"/>
      <c r="J30" s="343"/>
      <c r="K30" s="157"/>
      <c r="R30" s="326" t="s">
        <v>33</v>
      </c>
      <c r="S30" s="334"/>
      <c r="T30" s="334"/>
      <c r="U30" s="334"/>
      <c r="V30" s="334">
        <f>1</f>
        <v>1</v>
      </c>
      <c r="W30" s="334"/>
      <c r="X30" s="334"/>
      <c r="Y30" s="334"/>
      <c r="Z30" s="334"/>
      <c r="AA30" s="335"/>
      <c r="AB30" s="331"/>
      <c r="AC30" s="331"/>
      <c r="AD30" s="331"/>
      <c r="AE30" s="331"/>
      <c r="AF30" s="331"/>
      <c r="AG30" s="331"/>
      <c r="AH30" s="331"/>
      <c r="AI30" s="331"/>
      <c r="AJ30" s="331"/>
      <c r="AK30" s="328"/>
    </row>
    <row r="31" ht="15.75" customHeight="1">
      <c r="A31" s="154" t="s">
        <v>15</v>
      </c>
      <c r="B31" s="329"/>
      <c r="C31" s="329">
        <f>1</f>
        <v>1</v>
      </c>
      <c r="D31" s="329"/>
      <c r="E31" s="330"/>
      <c r="F31" s="329"/>
      <c r="G31" s="330"/>
      <c r="H31" s="329"/>
      <c r="I31" s="330"/>
      <c r="J31" s="343"/>
      <c r="K31" s="157"/>
      <c r="R31" s="344" t="s">
        <v>34</v>
      </c>
      <c r="S31" s="345"/>
      <c r="T31" s="345"/>
      <c r="U31" s="345"/>
      <c r="V31" s="345"/>
      <c r="W31" s="345"/>
      <c r="X31" s="345"/>
      <c r="Y31" s="345"/>
      <c r="Z31" s="345"/>
      <c r="AA31" s="345"/>
      <c r="AB31" s="331"/>
      <c r="AC31" s="331"/>
      <c r="AD31" s="331"/>
      <c r="AE31" s="331"/>
      <c r="AF31" s="331"/>
      <c r="AG31" s="331"/>
      <c r="AH31" s="331"/>
      <c r="AI31" s="331"/>
      <c r="AJ31" s="331"/>
      <c r="AK31" s="328"/>
    </row>
    <row r="32" ht="15.75" customHeight="1">
      <c r="A32" s="80" t="s">
        <v>102</v>
      </c>
      <c r="B32" s="329"/>
      <c r="C32" s="329"/>
      <c r="D32" s="329"/>
      <c r="E32" s="329"/>
      <c r="F32" s="329"/>
      <c r="G32" s="329"/>
      <c r="H32" s="329"/>
      <c r="I32" s="329"/>
      <c r="J32" s="343"/>
      <c r="K32" s="157"/>
      <c r="R32" s="344" t="s">
        <v>35</v>
      </c>
      <c r="S32" s="345"/>
      <c r="T32" s="345"/>
      <c r="U32" s="345"/>
      <c r="V32" s="345"/>
      <c r="W32" s="345"/>
      <c r="X32" s="345"/>
      <c r="Y32" s="345"/>
      <c r="Z32" s="345"/>
      <c r="AA32" s="346"/>
      <c r="AB32" s="331"/>
      <c r="AC32" s="331"/>
      <c r="AD32" s="331"/>
      <c r="AE32" s="331"/>
      <c r="AF32" s="331"/>
      <c r="AG32" s="331"/>
      <c r="AH32" s="331"/>
      <c r="AI32" s="331"/>
      <c r="AJ32" s="331"/>
      <c r="AK32" s="328"/>
    </row>
    <row r="33" ht="15.75" customHeight="1">
      <c r="A33" s="154" t="s">
        <v>103</v>
      </c>
      <c r="B33" s="329">
        <f>1</f>
        <v>1</v>
      </c>
      <c r="C33" s="329"/>
      <c r="D33" s="329"/>
      <c r="E33" s="329"/>
      <c r="F33" s="329"/>
      <c r="G33" s="329"/>
      <c r="H33" s="329"/>
      <c r="I33" s="329"/>
      <c r="J33" s="343"/>
      <c r="K33" s="157"/>
      <c r="R33" s="344" t="s">
        <v>36</v>
      </c>
      <c r="S33" s="345"/>
      <c r="T33" s="345"/>
      <c r="U33" s="345"/>
      <c r="V33" s="345"/>
      <c r="W33" s="345"/>
      <c r="X33" s="345"/>
      <c r="Y33" s="345"/>
      <c r="Z33" s="345"/>
      <c r="AA33" s="345"/>
      <c r="AB33" s="331"/>
      <c r="AC33" s="331"/>
      <c r="AD33" s="331"/>
      <c r="AE33" s="331"/>
      <c r="AF33" s="331"/>
      <c r="AG33" s="331"/>
      <c r="AH33" s="331"/>
      <c r="AI33" s="331"/>
      <c r="AJ33" s="331"/>
      <c r="AK33" s="328"/>
    </row>
    <row r="34" ht="15.75" customHeight="1">
      <c r="A34" s="154" t="s">
        <v>17</v>
      </c>
      <c r="B34" s="329"/>
      <c r="C34" s="329"/>
      <c r="D34" s="330"/>
      <c r="E34" s="330"/>
      <c r="F34" s="329"/>
      <c r="G34" s="329"/>
      <c r="H34" s="329"/>
      <c r="I34" s="329"/>
      <c r="J34" s="343"/>
      <c r="K34" s="157"/>
      <c r="R34" s="344" t="s">
        <v>37</v>
      </c>
      <c r="S34" s="345"/>
      <c r="T34" s="345"/>
      <c r="U34" s="345"/>
      <c r="V34" s="345"/>
      <c r="W34" s="345"/>
      <c r="X34" s="345"/>
      <c r="Y34" s="345"/>
      <c r="Z34" s="345"/>
      <c r="AA34" s="345"/>
      <c r="AB34" s="331"/>
      <c r="AC34" s="331"/>
      <c r="AD34" s="331"/>
      <c r="AE34" s="331"/>
      <c r="AF34" s="331"/>
      <c r="AG34" s="331"/>
      <c r="AH34" s="331"/>
      <c r="AI34" s="331"/>
      <c r="AJ34" s="331"/>
      <c r="AK34" s="328"/>
    </row>
    <row r="35" ht="15.75" customHeight="1">
      <c r="A35" s="154" t="s">
        <v>14</v>
      </c>
      <c r="B35" s="329"/>
      <c r="C35" s="329"/>
      <c r="D35" s="329">
        <f>1</f>
        <v>1</v>
      </c>
      <c r="E35" s="329">
        <f>1-1+1-1</f>
        <v>0</v>
      </c>
      <c r="F35" s="329"/>
      <c r="G35" s="329"/>
      <c r="H35" s="329"/>
      <c r="I35" s="137"/>
      <c r="J35" s="343"/>
      <c r="K35" s="157"/>
      <c r="R35" s="344" t="s">
        <v>38</v>
      </c>
      <c r="S35" s="345"/>
      <c r="T35" s="345"/>
      <c r="U35" s="345"/>
      <c r="V35" s="345"/>
      <c r="W35" s="345"/>
      <c r="X35" s="345"/>
      <c r="Y35" s="345"/>
      <c r="Z35" s="345"/>
      <c r="AA35" s="345"/>
      <c r="AB35" s="331"/>
      <c r="AC35" s="331"/>
      <c r="AD35" s="331"/>
      <c r="AE35" s="331"/>
      <c r="AF35" s="331"/>
      <c r="AG35" s="331"/>
      <c r="AH35" s="331"/>
      <c r="AI35" s="331"/>
      <c r="AJ35" s="331"/>
      <c r="AK35" s="328"/>
    </row>
    <row r="36" ht="15.75" customHeight="1">
      <c r="A36" s="154" t="s">
        <v>163</v>
      </c>
      <c r="B36" s="329"/>
      <c r="C36" s="329"/>
      <c r="D36" s="329"/>
      <c r="E36" s="329"/>
      <c r="F36" s="330"/>
      <c r="G36" s="329"/>
      <c r="H36" s="137"/>
      <c r="I36" s="329"/>
      <c r="J36" s="343"/>
      <c r="K36" s="157"/>
      <c r="R36" s="347"/>
      <c r="S36" s="311"/>
      <c r="T36" s="311"/>
      <c r="U36" s="311"/>
      <c r="V36" s="311"/>
      <c r="W36" s="311"/>
      <c r="X36" s="311"/>
      <c r="Y36" s="311"/>
      <c r="Z36" s="311"/>
      <c r="AA36" s="311"/>
      <c r="AB36" s="311"/>
      <c r="AC36" s="311"/>
      <c r="AD36" s="311"/>
      <c r="AE36" s="311"/>
      <c r="AF36" s="311"/>
      <c r="AG36" s="311"/>
      <c r="AH36" s="311"/>
      <c r="AI36" s="311"/>
      <c r="AJ36" s="311"/>
      <c r="AK36" s="348"/>
    </row>
    <row r="37" ht="15.75" customHeight="1">
      <c r="A37" s="154" t="s">
        <v>104</v>
      </c>
      <c r="B37" s="329"/>
      <c r="C37" s="329"/>
      <c r="D37" s="330">
        <f>1</f>
        <v>1</v>
      </c>
      <c r="E37" s="329"/>
      <c r="F37" s="329"/>
      <c r="G37" s="329"/>
      <c r="H37" s="329"/>
      <c r="I37" s="329"/>
      <c r="J37" s="343"/>
      <c r="K37" s="157"/>
      <c r="R37" s="311"/>
      <c r="S37" s="311"/>
      <c r="T37" s="311"/>
      <c r="U37" s="311"/>
      <c r="V37" s="311"/>
      <c r="W37" s="311"/>
      <c r="X37" s="311"/>
      <c r="Y37" s="311"/>
      <c r="Z37" s="311"/>
      <c r="AA37" s="311"/>
      <c r="AB37" s="311"/>
      <c r="AC37" s="311"/>
      <c r="AD37" s="311"/>
      <c r="AE37" s="311"/>
      <c r="AF37" s="311"/>
      <c r="AG37" s="311"/>
      <c r="AH37" s="311"/>
      <c r="AI37" s="311"/>
      <c r="AJ37" s="311"/>
      <c r="AK37" s="313"/>
    </row>
    <row r="38" ht="15.75" customHeight="1">
      <c r="A38" s="154" t="s">
        <v>105</v>
      </c>
      <c r="B38" s="329"/>
      <c r="C38" s="329"/>
      <c r="D38" s="329"/>
      <c r="E38" s="329"/>
      <c r="F38" s="329"/>
      <c r="G38" s="329"/>
      <c r="H38" s="329"/>
      <c r="I38" s="329"/>
      <c r="J38" s="343"/>
      <c r="K38" s="157"/>
      <c r="R38" s="311"/>
      <c r="S38" s="317" t="s">
        <v>164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1"/>
      <c r="AK38" s="313"/>
    </row>
    <row r="39" ht="15.75" customHeight="1">
      <c r="A39" s="154" t="s">
        <v>106</v>
      </c>
      <c r="B39" s="329"/>
      <c r="C39" s="329">
        <f>1-1</f>
        <v>0</v>
      </c>
      <c r="D39" s="329"/>
      <c r="E39" s="329"/>
      <c r="F39" s="329"/>
      <c r="G39" s="329"/>
      <c r="H39" s="329"/>
      <c r="I39" s="329"/>
      <c r="J39" s="343"/>
      <c r="K39" s="157"/>
      <c r="R39" s="311"/>
      <c r="S39" s="14" t="s">
        <v>2</v>
      </c>
      <c r="T39" s="15"/>
      <c r="U39" s="15"/>
      <c r="V39" s="15"/>
      <c r="W39" s="15"/>
      <c r="X39" s="15"/>
      <c r="Y39" s="15"/>
      <c r="Z39" s="15"/>
      <c r="AA39" s="16"/>
      <c r="AB39" s="349"/>
      <c r="AC39" s="15"/>
      <c r="AD39" s="15"/>
      <c r="AE39" s="15"/>
      <c r="AF39" s="15"/>
      <c r="AG39" s="15"/>
      <c r="AH39" s="15"/>
      <c r="AI39" s="15"/>
      <c r="AJ39" s="16"/>
      <c r="AK39" s="313"/>
    </row>
    <row r="40" ht="15.75" customHeight="1">
      <c r="A40" s="154" t="s">
        <v>27</v>
      </c>
      <c r="B40" s="137"/>
      <c r="C40" s="137">
        <f>1</f>
        <v>1</v>
      </c>
      <c r="D40" s="137"/>
      <c r="E40" s="350">
        <f>1-1</f>
        <v>0</v>
      </c>
      <c r="F40" s="137"/>
      <c r="G40" s="137"/>
      <c r="H40" s="137"/>
      <c r="I40" s="137"/>
      <c r="J40" s="137"/>
      <c r="K40" s="157"/>
      <c r="R40" s="320" t="s">
        <v>4</v>
      </c>
      <c r="S40" s="19" t="s">
        <v>5</v>
      </c>
      <c r="T40" s="20" t="s">
        <v>6</v>
      </c>
      <c r="U40" s="20" t="s">
        <v>7</v>
      </c>
      <c r="V40" s="20" t="s">
        <v>8</v>
      </c>
      <c r="W40" s="20" t="s">
        <v>52</v>
      </c>
      <c r="X40" s="20" t="s">
        <v>165</v>
      </c>
      <c r="Y40" s="20" t="s">
        <v>166</v>
      </c>
      <c r="Z40" s="20" t="s">
        <v>167</v>
      </c>
      <c r="AA40" s="46" t="s">
        <v>168</v>
      </c>
      <c r="AB40" s="47" t="s">
        <v>5</v>
      </c>
      <c r="AC40" s="21" t="s">
        <v>6</v>
      </c>
      <c r="AD40" s="21" t="s">
        <v>7</v>
      </c>
      <c r="AE40" s="21" t="s">
        <v>8</v>
      </c>
      <c r="AF40" s="21" t="s">
        <v>52</v>
      </c>
      <c r="AG40" s="21" t="s">
        <v>165</v>
      </c>
      <c r="AH40" s="21" t="s">
        <v>166</v>
      </c>
      <c r="AI40" s="21" t="s">
        <v>167</v>
      </c>
      <c r="AJ40" s="22" t="s">
        <v>168</v>
      </c>
      <c r="AK40" s="313"/>
    </row>
    <row r="41" ht="15.75" customHeight="1">
      <c r="A41" s="154" t="s">
        <v>107</v>
      </c>
      <c r="B41" s="137">
        <f>1</f>
        <v>1</v>
      </c>
      <c r="C41" s="350"/>
      <c r="D41" s="137">
        <f>1-1</f>
        <v>0</v>
      </c>
      <c r="E41" s="137"/>
      <c r="F41" s="137"/>
      <c r="G41" s="137"/>
      <c r="H41" s="137"/>
      <c r="I41" s="137"/>
      <c r="J41" s="137"/>
      <c r="K41" s="157"/>
      <c r="R41" s="326" t="s">
        <v>14</v>
      </c>
      <c r="S41" s="351">
        <f>1</f>
        <v>1</v>
      </c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2"/>
    </row>
    <row r="42" ht="15.75" customHeight="1">
      <c r="A42" s="176" t="s">
        <v>109</v>
      </c>
      <c r="B42" s="137"/>
      <c r="C42" s="137"/>
      <c r="D42" s="137"/>
      <c r="E42" s="350"/>
      <c r="F42" s="137"/>
      <c r="G42" s="137"/>
      <c r="H42" s="137"/>
      <c r="I42" s="137"/>
      <c r="J42" s="137"/>
      <c r="K42" s="157"/>
      <c r="R42" s="326" t="s">
        <v>15</v>
      </c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>
        <f>1</f>
        <v>1</v>
      </c>
      <c r="AD42" s="351"/>
      <c r="AE42" s="351"/>
      <c r="AF42" s="351"/>
      <c r="AG42" s="351"/>
      <c r="AH42" s="351"/>
      <c r="AI42" s="351"/>
      <c r="AJ42" s="351"/>
      <c r="AK42" s="353"/>
    </row>
    <row r="43" ht="15.75" customHeight="1">
      <c r="R43" s="326" t="s">
        <v>40</v>
      </c>
      <c r="S43" s="351"/>
      <c r="T43" s="351">
        <f>1</f>
        <v>1</v>
      </c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2"/>
    </row>
    <row r="44" ht="15.75" customHeight="1">
      <c r="R44" s="326" t="s">
        <v>17</v>
      </c>
      <c r="S44" s="351"/>
      <c r="T44" s="351"/>
      <c r="U44" s="351"/>
      <c r="V44" s="351"/>
      <c r="W44" s="351"/>
      <c r="X44" s="351"/>
      <c r="Y44" s="351"/>
      <c r="Z44" s="351"/>
      <c r="AA44" s="351"/>
      <c r="AB44" s="351">
        <f>1</f>
        <v>1</v>
      </c>
      <c r="AC44" s="351"/>
      <c r="AD44" s="351"/>
      <c r="AE44" s="351"/>
      <c r="AF44" s="351"/>
      <c r="AG44" s="351"/>
      <c r="AH44" s="351"/>
      <c r="AI44" s="351"/>
      <c r="AJ44" s="351"/>
      <c r="AK44" s="352"/>
    </row>
    <row r="45" ht="15.75" customHeight="1">
      <c r="A45" s="354" t="s">
        <v>89</v>
      </c>
      <c r="B45" s="112"/>
      <c r="C45" s="112"/>
      <c r="D45" s="112"/>
      <c r="E45" s="112"/>
      <c r="F45" s="112"/>
      <c r="G45" s="112"/>
      <c r="H45" s="112"/>
      <c r="I45" s="112"/>
      <c r="J45" s="160"/>
      <c r="K45" s="355"/>
      <c r="R45" s="326" t="s">
        <v>18</v>
      </c>
      <c r="S45" s="351"/>
      <c r="T45" s="351"/>
      <c r="U45" s="351"/>
      <c r="V45" s="351">
        <f>1</f>
        <v>1</v>
      </c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2"/>
    </row>
    <row r="46" ht="15.75" customHeight="1">
      <c r="A46" s="356" t="s">
        <v>169</v>
      </c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R46" s="326" t="s">
        <v>19</v>
      </c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>
        <f>1</f>
        <v>1</v>
      </c>
      <c r="AD46" s="351"/>
      <c r="AE46" s="351"/>
      <c r="AF46" s="351"/>
      <c r="AG46" s="351"/>
      <c r="AH46" s="351"/>
      <c r="AI46" s="351"/>
      <c r="AJ46" s="351"/>
      <c r="AK46" s="352"/>
    </row>
    <row r="47" ht="15.75" customHeight="1">
      <c r="A47" s="284"/>
      <c r="B47" s="114" t="s">
        <v>2</v>
      </c>
      <c r="C47" s="54"/>
      <c r="D47" s="54"/>
      <c r="E47" s="54"/>
      <c r="F47" s="54"/>
      <c r="G47" s="54"/>
      <c r="H47" s="54"/>
      <c r="I47" s="54"/>
      <c r="J47" s="101"/>
      <c r="K47" s="149"/>
      <c r="R47" s="326" t="s">
        <v>20</v>
      </c>
      <c r="S47" s="351"/>
      <c r="T47" s="351"/>
      <c r="U47" s="357"/>
      <c r="V47" s="351"/>
      <c r="W47" s="351"/>
      <c r="X47" s="351"/>
      <c r="Y47" s="351"/>
      <c r="Z47" s="351"/>
      <c r="AA47" s="351"/>
      <c r="AB47" s="351">
        <f>1</f>
        <v>1</v>
      </c>
      <c r="AC47" s="351"/>
      <c r="AD47" s="351"/>
      <c r="AE47" s="351"/>
      <c r="AF47" s="351"/>
      <c r="AG47" s="351"/>
      <c r="AH47" s="351"/>
      <c r="AI47" s="351"/>
      <c r="AJ47" s="351"/>
      <c r="AK47" s="352"/>
    </row>
    <row r="48" ht="15.75" customHeight="1">
      <c r="A48" s="284" t="s">
        <v>170</v>
      </c>
      <c r="B48" s="118">
        <v>28.0</v>
      </c>
      <c r="C48" s="118">
        <v>30.0</v>
      </c>
      <c r="D48" s="118">
        <v>32.0</v>
      </c>
      <c r="E48" s="118">
        <v>34.0</v>
      </c>
      <c r="F48" s="118">
        <v>36.0</v>
      </c>
      <c r="G48" s="118">
        <v>38.0</v>
      </c>
      <c r="H48" s="118">
        <v>40.0</v>
      </c>
      <c r="I48" s="118"/>
      <c r="J48" s="341"/>
      <c r="K48" s="149"/>
      <c r="R48" s="311"/>
      <c r="S48" s="311"/>
      <c r="T48" s="311"/>
      <c r="U48" s="311"/>
      <c r="V48" s="311"/>
      <c r="W48" s="311"/>
      <c r="X48" s="311"/>
      <c r="Y48" s="311"/>
      <c r="Z48" s="311"/>
      <c r="AA48" s="311"/>
      <c r="AB48" s="311"/>
      <c r="AC48" s="311"/>
      <c r="AD48" s="311"/>
      <c r="AE48" s="311"/>
      <c r="AF48" s="311"/>
      <c r="AG48" s="311"/>
      <c r="AH48" s="311"/>
      <c r="AI48" s="311"/>
      <c r="AJ48" s="311"/>
      <c r="AK48" s="358"/>
    </row>
    <row r="49" ht="15.75" customHeight="1">
      <c r="A49" s="359"/>
      <c r="B49" s="360" t="s">
        <v>5</v>
      </c>
      <c r="C49" s="360" t="s">
        <v>49</v>
      </c>
      <c r="D49" s="360" t="s">
        <v>50</v>
      </c>
      <c r="E49" s="360" t="s">
        <v>51</v>
      </c>
      <c r="F49" s="360" t="s">
        <v>52</v>
      </c>
      <c r="G49" s="360" t="s">
        <v>10</v>
      </c>
      <c r="H49" s="360" t="s">
        <v>11</v>
      </c>
      <c r="I49" s="360" t="s">
        <v>12</v>
      </c>
      <c r="J49" s="361" t="s">
        <v>13</v>
      </c>
      <c r="K49" s="362" t="s">
        <v>53</v>
      </c>
      <c r="R49" s="311"/>
      <c r="S49" s="311"/>
      <c r="T49" s="311"/>
      <c r="U49" s="311"/>
      <c r="V49" s="311"/>
      <c r="W49" s="311"/>
      <c r="X49" s="311"/>
      <c r="Y49" s="311"/>
      <c r="Z49" s="311"/>
      <c r="AA49" s="311"/>
      <c r="AB49" s="311"/>
      <c r="AC49" s="311"/>
      <c r="AD49" s="311"/>
      <c r="AE49" s="311"/>
      <c r="AF49" s="311"/>
      <c r="AG49" s="311"/>
      <c r="AH49" s="311"/>
      <c r="AI49" s="311"/>
      <c r="AJ49" s="311"/>
      <c r="AK49" s="313"/>
    </row>
    <row r="50" ht="15.75" customHeight="1">
      <c r="A50" s="80" t="s">
        <v>74</v>
      </c>
      <c r="B50" s="118"/>
      <c r="C50" s="118"/>
      <c r="D50" s="118"/>
      <c r="E50" s="118"/>
      <c r="F50" s="118"/>
      <c r="G50" s="118"/>
      <c r="H50" s="119"/>
      <c r="I50" s="118"/>
      <c r="J50" s="118"/>
      <c r="K50" s="363"/>
      <c r="R50" s="311"/>
      <c r="S50" s="364" t="s">
        <v>171</v>
      </c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70"/>
      <c r="AK50" s="313"/>
    </row>
    <row r="51" ht="15.75" customHeight="1">
      <c r="A51" s="154" t="s">
        <v>14</v>
      </c>
      <c r="B51" s="118"/>
      <c r="C51" s="118"/>
      <c r="D51" s="118"/>
      <c r="E51" s="118"/>
      <c r="F51" s="118"/>
      <c r="G51" s="118"/>
      <c r="H51" s="118"/>
      <c r="I51" s="118"/>
      <c r="J51" s="118"/>
      <c r="K51" s="363"/>
      <c r="R51" s="311"/>
      <c r="S51" s="365" t="s">
        <v>42</v>
      </c>
      <c r="T51" s="4"/>
      <c r="U51" s="4"/>
      <c r="V51" s="4"/>
      <c r="W51" s="4"/>
      <c r="X51" s="4"/>
      <c r="Y51" s="4"/>
      <c r="Z51" s="4"/>
      <c r="AA51" s="366"/>
      <c r="AB51" s="313"/>
      <c r="AC51" s="311"/>
      <c r="AD51" s="311"/>
      <c r="AE51" s="311"/>
      <c r="AF51" s="311"/>
      <c r="AG51" s="311"/>
      <c r="AH51" s="311"/>
      <c r="AI51" s="311"/>
      <c r="AJ51" s="311"/>
      <c r="AK51" s="311"/>
    </row>
    <row r="52" ht="15.75" customHeight="1">
      <c r="A52" s="80" t="s">
        <v>91</v>
      </c>
      <c r="B52" s="118"/>
      <c r="C52" s="118"/>
      <c r="D52" s="118"/>
      <c r="E52" s="118">
        <f>1</f>
        <v>1</v>
      </c>
      <c r="F52" s="118"/>
      <c r="G52" s="118"/>
      <c r="H52" s="118"/>
      <c r="I52" s="118"/>
      <c r="J52" s="118"/>
      <c r="K52" s="363"/>
      <c r="R52" s="320" t="s">
        <v>4</v>
      </c>
      <c r="S52" s="64" t="s">
        <v>5</v>
      </c>
      <c r="T52" s="64" t="s">
        <v>6</v>
      </c>
      <c r="U52" s="64" t="s">
        <v>7</v>
      </c>
      <c r="V52" s="64" t="s">
        <v>8</v>
      </c>
      <c r="W52" s="64" t="s">
        <v>52</v>
      </c>
      <c r="X52" s="64" t="s">
        <v>165</v>
      </c>
      <c r="Y52" s="64" t="s">
        <v>166</v>
      </c>
      <c r="Z52" s="64" t="s">
        <v>167</v>
      </c>
      <c r="AA52" s="65" t="s">
        <v>168</v>
      </c>
      <c r="AB52" s="313"/>
      <c r="AC52" s="311"/>
      <c r="AD52" s="311"/>
      <c r="AE52" s="311"/>
      <c r="AF52" s="311"/>
      <c r="AG52" s="311"/>
      <c r="AH52" s="311"/>
      <c r="AI52" s="311"/>
      <c r="AJ52" s="311"/>
      <c r="AK52" s="311"/>
    </row>
    <row r="53" ht="15.75" customHeight="1">
      <c r="A53" s="154" t="s">
        <v>35</v>
      </c>
      <c r="B53" s="118"/>
      <c r="C53" s="118"/>
      <c r="D53" s="118"/>
      <c r="E53" s="118"/>
      <c r="F53" s="118"/>
      <c r="G53" s="118"/>
      <c r="H53" s="118"/>
      <c r="I53" s="118"/>
      <c r="J53" s="118"/>
      <c r="K53" s="363"/>
      <c r="R53" s="326" t="s">
        <v>14</v>
      </c>
      <c r="S53" s="48">
        <f t="shared" ref="S53:AA53" si="2">0</f>
        <v>0</v>
      </c>
      <c r="T53" s="48">
        <f t="shared" si="2"/>
        <v>0</v>
      </c>
      <c r="U53" s="48">
        <f t="shared" si="2"/>
        <v>0</v>
      </c>
      <c r="V53" s="48">
        <f t="shared" si="2"/>
        <v>0</v>
      </c>
      <c r="W53" s="48">
        <f t="shared" si="2"/>
        <v>0</v>
      </c>
      <c r="X53" s="48">
        <f t="shared" si="2"/>
        <v>0</v>
      </c>
      <c r="Y53" s="48">
        <f t="shared" si="2"/>
        <v>0</v>
      </c>
      <c r="Z53" s="48">
        <f t="shared" si="2"/>
        <v>0</v>
      </c>
      <c r="AA53" s="48">
        <f t="shared" si="2"/>
        <v>0</v>
      </c>
      <c r="AB53" s="352"/>
      <c r="AC53" s="311"/>
      <c r="AD53" s="311"/>
      <c r="AE53" s="311"/>
      <c r="AF53" s="311"/>
      <c r="AG53" s="311"/>
      <c r="AH53" s="311"/>
      <c r="AI53" s="311"/>
      <c r="AJ53" s="311"/>
      <c r="AK53" s="311"/>
    </row>
    <row r="54" ht="15.75" customHeight="1">
      <c r="A54" s="154" t="s">
        <v>27</v>
      </c>
      <c r="B54" s="118"/>
      <c r="C54" s="118"/>
      <c r="D54" s="118"/>
      <c r="E54" s="118"/>
      <c r="F54" s="118"/>
      <c r="G54" s="118"/>
      <c r="H54" s="118"/>
      <c r="I54" s="118"/>
      <c r="J54" s="118"/>
      <c r="K54" s="363"/>
      <c r="R54" s="326" t="s">
        <v>15</v>
      </c>
      <c r="S54" s="351"/>
      <c r="T54" s="351"/>
      <c r="U54" s="351"/>
      <c r="V54" s="351"/>
      <c r="W54" s="351"/>
      <c r="X54" s="351">
        <f>1</f>
        <v>1</v>
      </c>
      <c r="Y54" s="351"/>
      <c r="Z54" s="351"/>
      <c r="AA54" s="351"/>
      <c r="AB54" s="352"/>
      <c r="AC54" s="311"/>
      <c r="AD54" s="311"/>
      <c r="AE54" s="311"/>
      <c r="AF54" s="311"/>
      <c r="AG54" s="311"/>
      <c r="AH54" s="311"/>
      <c r="AI54" s="311"/>
      <c r="AJ54" s="311"/>
      <c r="AK54" s="311"/>
    </row>
    <row r="55" ht="15.75" customHeight="1">
      <c r="A55" s="8"/>
      <c r="B55" s="127"/>
      <c r="C55" s="127"/>
      <c r="D55" s="127"/>
      <c r="E55" s="127"/>
      <c r="F55" s="127"/>
      <c r="G55" s="127"/>
      <c r="H55" s="127"/>
      <c r="I55" s="127"/>
      <c r="J55" s="127"/>
      <c r="K55" s="338">
        <f>SUM(K50:K54)</f>
        <v>0</v>
      </c>
      <c r="R55" s="326" t="s">
        <v>43</v>
      </c>
      <c r="S55" s="351"/>
      <c r="T55" s="351"/>
      <c r="U55" s="351"/>
      <c r="V55" s="351">
        <f>1</f>
        <v>1</v>
      </c>
      <c r="W55" s="351"/>
      <c r="X55" s="351"/>
      <c r="Y55" s="351"/>
      <c r="Z55" s="351"/>
      <c r="AA55" s="351"/>
      <c r="AB55" s="352"/>
      <c r="AC55" s="311"/>
      <c r="AD55" s="311"/>
      <c r="AE55" s="311"/>
      <c r="AF55" s="311"/>
      <c r="AG55" s="311"/>
      <c r="AH55" s="311"/>
      <c r="AI55" s="311"/>
      <c r="AJ55" s="311"/>
      <c r="AK55" s="311"/>
    </row>
    <row r="56" ht="15.75" customHeight="1">
      <c r="A56" s="367" t="s">
        <v>172</v>
      </c>
      <c r="B56" s="54"/>
      <c r="C56" s="54"/>
      <c r="D56" s="54"/>
      <c r="E56" s="54"/>
      <c r="F56" s="54"/>
      <c r="G56" s="54"/>
      <c r="H56" s="54"/>
      <c r="I56" s="54"/>
      <c r="J56" s="54"/>
      <c r="K56" s="70"/>
      <c r="R56" s="326" t="s">
        <v>18</v>
      </c>
      <c r="S56" s="351">
        <f>1</f>
        <v>1</v>
      </c>
      <c r="T56" s="351"/>
      <c r="U56" s="351"/>
      <c r="V56" s="351"/>
      <c r="W56" s="351"/>
      <c r="X56" s="351"/>
      <c r="Y56" s="351"/>
      <c r="Z56" s="351"/>
      <c r="AA56" s="351"/>
      <c r="AB56" s="352"/>
      <c r="AC56" s="311"/>
      <c r="AD56" s="311"/>
      <c r="AE56" s="311"/>
      <c r="AF56" s="311"/>
      <c r="AG56" s="311"/>
      <c r="AH56" s="311"/>
      <c r="AI56" s="311"/>
      <c r="AJ56" s="311"/>
      <c r="AK56" s="311"/>
    </row>
    <row r="57" ht="15.75" customHeight="1">
      <c r="A57" s="284"/>
      <c r="B57" s="114" t="s">
        <v>3</v>
      </c>
      <c r="C57" s="54"/>
      <c r="D57" s="54"/>
      <c r="E57" s="54"/>
      <c r="F57" s="54"/>
      <c r="G57" s="54"/>
      <c r="H57" s="54"/>
      <c r="I57" s="54"/>
      <c r="J57" s="101"/>
      <c r="K57" s="157"/>
      <c r="R57" s="326" t="s">
        <v>19</v>
      </c>
      <c r="S57" s="351"/>
      <c r="T57" s="351"/>
      <c r="U57" s="351">
        <f>1</f>
        <v>1</v>
      </c>
      <c r="V57" s="351"/>
      <c r="W57" s="351"/>
      <c r="X57" s="351"/>
      <c r="Y57" s="351"/>
      <c r="Z57" s="351"/>
      <c r="AA57" s="351"/>
      <c r="AB57" s="352"/>
      <c r="AC57" s="311"/>
      <c r="AD57" s="311"/>
      <c r="AE57" s="311"/>
      <c r="AF57" s="311"/>
      <c r="AG57" s="311"/>
      <c r="AH57" s="311"/>
      <c r="AI57" s="311"/>
      <c r="AJ57" s="311"/>
      <c r="AK57" s="311"/>
    </row>
    <row r="58" ht="15.75" customHeight="1">
      <c r="A58" s="284" t="s">
        <v>93</v>
      </c>
      <c r="B58" s="118">
        <v>28.0</v>
      </c>
      <c r="C58" s="118">
        <v>30.0</v>
      </c>
      <c r="D58" s="118">
        <v>32.0</v>
      </c>
      <c r="E58" s="118">
        <v>34.0</v>
      </c>
      <c r="F58" s="118">
        <v>36.0</v>
      </c>
      <c r="G58" s="118">
        <v>38.0</v>
      </c>
      <c r="H58" s="118">
        <v>40.0</v>
      </c>
      <c r="I58" s="118"/>
      <c r="J58" s="341"/>
      <c r="K58" s="157"/>
      <c r="R58" s="326" t="s">
        <v>20</v>
      </c>
      <c r="S58" s="351"/>
      <c r="T58" s="351">
        <f>1</f>
        <v>1</v>
      </c>
      <c r="U58" s="351"/>
      <c r="V58" s="351"/>
      <c r="W58" s="351"/>
      <c r="X58" s="351"/>
      <c r="Y58" s="351"/>
      <c r="Z58" s="351"/>
      <c r="AA58" s="351"/>
      <c r="AB58" s="368"/>
      <c r="AC58" s="311"/>
      <c r="AD58" s="311"/>
      <c r="AE58" s="311"/>
      <c r="AF58" s="311"/>
      <c r="AG58" s="311"/>
      <c r="AH58" s="311"/>
      <c r="AI58" s="311"/>
      <c r="AJ58" s="311"/>
      <c r="AK58" s="311"/>
    </row>
    <row r="59" ht="15.75" customHeight="1">
      <c r="A59" s="284"/>
      <c r="B59" s="131" t="s">
        <v>5</v>
      </c>
      <c r="C59" s="131" t="s">
        <v>49</v>
      </c>
      <c r="D59" s="131" t="s">
        <v>50</v>
      </c>
      <c r="E59" s="131" t="s">
        <v>51</v>
      </c>
      <c r="F59" s="131" t="s">
        <v>52</v>
      </c>
      <c r="G59" s="131" t="s">
        <v>10</v>
      </c>
      <c r="H59" s="131" t="s">
        <v>11</v>
      </c>
      <c r="I59" s="131" t="s">
        <v>12</v>
      </c>
      <c r="J59" s="342" t="s">
        <v>13</v>
      </c>
      <c r="K59" s="314" t="s">
        <v>53</v>
      </c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69"/>
      <c r="AC59" s="70"/>
      <c r="AD59" s="311"/>
      <c r="AE59" s="311"/>
      <c r="AF59" s="311"/>
      <c r="AG59" s="311"/>
      <c r="AH59" s="311"/>
      <c r="AI59" s="311"/>
      <c r="AJ59" s="311"/>
      <c r="AK59" s="311"/>
    </row>
    <row r="60" ht="15.75" customHeight="1">
      <c r="A60" s="80" t="s">
        <v>74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57"/>
    </row>
    <row r="61" ht="15.75" customHeight="1">
      <c r="A61" s="154" t="s">
        <v>14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57"/>
    </row>
    <row r="62" ht="15.75" customHeight="1">
      <c r="A62" s="80" t="s">
        <v>91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57"/>
    </row>
    <row r="63" ht="15.75" customHeight="1">
      <c r="A63" s="154" t="s">
        <v>35</v>
      </c>
      <c r="B63" s="118"/>
      <c r="C63" s="118"/>
      <c r="D63" s="118"/>
      <c r="E63" s="118"/>
      <c r="F63" s="118"/>
      <c r="G63" s="118"/>
      <c r="H63" s="118"/>
      <c r="I63" s="118"/>
      <c r="J63" s="118"/>
      <c r="K63" s="157"/>
    </row>
    <row r="64" ht="15.75" customHeight="1">
      <c r="A64" s="154" t="s">
        <v>27</v>
      </c>
      <c r="B64" s="118"/>
      <c r="C64" s="118"/>
      <c r="D64" s="118"/>
      <c r="E64" s="118"/>
      <c r="F64" s="118"/>
      <c r="G64" s="118"/>
      <c r="H64" s="118"/>
      <c r="I64" s="118"/>
      <c r="J64" s="118"/>
      <c r="K64" s="157"/>
    </row>
    <row r="65" ht="15.75" customHeight="1">
      <c r="A65" s="176"/>
      <c r="B65" s="127"/>
      <c r="C65" s="127"/>
      <c r="D65" s="127"/>
      <c r="E65" s="127"/>
      <c r="F65" s="127"/>
      <c r="G65" s="127"/>
      <c r="H65" s="127"/>
      <c r="I65" s="127"/>
      <c r="J65" s="127"/>
      <c r="K65" s="338">
        <f>SUM(K60:K64)</f>
        <v>0</v>
      </c>
      <c r="R65" s="156" t="s">
        <v>77</v>
      </c>
      <c r="S65" s="54"/>
      <c r="T65" s="54"/>
      <c r="U65" s="54"/>
      <c r="V65" s="54"/>
      <c r="W65" s="54"/>
      <c r="X65" s="54"/>
      <c r="Y65" s="54"/>
      <c r="Z65" s="54"/>
      <c r="AA65" s="54"/>
      <c r="AB65" s="70"/>
    </row>
    <row r="66" ht="15.75" customHeight="1">
      <c r="A66" s="8"/>
      <c r="B66" s="127"/>
      <c r="C66" s="127"/>
      <c r="D66" s="127"/>
      <c r="E66" s="127"/>
      <c r="F66" s="127"/>
      <c r="G66" s="127"/>
      <c r="H66" s="127"/>
      <c r="I66" s="127"/>
      <c r="J66" s="127"/>
      <c r="K66" s="370"/>
      <c r="R66" s="284"/>
      <c r="S66" s="81" t="s">
        <v>173</v>
      </c>
      <c r="T66" s="54"/>
      <c r="U66" s="54"/>
      <c r="V66" s="54"/>
      <c r="W66" s="54"/>
      <c r="X66" s="54"/>
      <c r="Y66" s="54"/>
      <c r="Z66" s="54"/>
      <c r="AA66" s="70"/>
      <c r="AB66" s="149"/>
    </row>
    <row r="67" ht="15.75" customHeight="1">
      <c r="A67" s="367" t="s">
        <v>174</v>
      </c>
      <c r="B67" s="54"/>
      <c r="C67" s="54"/>
      <c r="D67" s="54"/>
      <c r="E67" s="54"/>
      <c r="F67" s="54"/>
      <c r="G67" s="54"/>
      <c r="H67" s="54"/>
      <c r="I67" s="54"/>
      <c r="J67" s="54"/>
      <c r="K67" s="70"/>
      <c r="R67" s="284" t="s">
        <v>93</v>
      </c>
      <c r="S67" s="118">
        <v>28.0</v>
      </c>
      <c r="T67" s="118">
        <v>30.0</v>
      </c>
      <c r="U67" s="118">
        <v>32.0</v>
      </c>
      <c r="V67" s="118">
        <v>34.0</v>
      </c>
      <c r="W67" s="118">
        <v>36.0</v>
      </c>
      <c r="X67" s="118">
        <v>38.0</v>
      </c>
      <c r="Y67" s="118">
        <v>40.0</v>
      </c>
      <c r="Z67" s="118"/>
      <c r="AA67" s="341"/>
      <c r="AB67" s="149"/>
    </row>
    <row r="68" ht="15.75" customHeight="1">
      <c r="A68" s="284"/>
      <c r="B68" s="114" t="s">
        <v>2</v>
      </c>
      <c r="C68" s="54"/>
      <c r="D68" s="54"/>
      <c r="E68" s="54"/>
      <c r="F68" s="54"/>
      <c r="G68" s="54"/>
      <c r="H68" s="54"/>
      <c r="I68" s="54"/>
      <c r="J68" s="70"/>
      <c r="K68" s="370"/>
      <c r="R68" s="284"/>
      <c r="S68" s="131" t="s">
        <v>5</v>
      </c>
      <c r="T68" s="131" t="s">
        <v>49</v>
      </c>
      <c r="U68" s="131" t="s">
        <v>50</v>
      </c>
      <c r="V68" s="131" t="s">
        <v>51</v>
      </c>
      <c r="W68" s="131" t="s">
        <v>52</v>
      </c>
      <c r="X68" s="131" t="s">
        <v>10</v>
      </c>
      <c r="Y68" s="131" t="s">
        <v>11</v>
      </c>
      <c r="Z68" s="131" t="s">
        <v>12</v>
      </c>
      <c r="AA68" s="342" t="s">
        <v>13</v>
      </c>
      <c r="AB68" s="117" t="s">
        <v>53</v>
      </c>
    </row>
    <row r="69" ht="15.75" customHeight="1">
      <c r="A69" s="284" t="s">
        <v>93</v>
      </c>
      <c r="B69" s="118">
        <v>28.0</v>
      </c>
      <c r="C69" s="118">
        <v>30.0</v>
      </c>
      <c r="D69" s="118">
        <v>32.0</v>
      </c>
      <c r="E69" s="118">
        <v>34.0</v>
      </c>
      <c r="F69" s="118">
        <v>36.0</v>
      </c>
      <c r="G69" s="118">
        <v>38.0</v>
      </c>
      <c r="H69" s="118">
        <v>40.0</v>
      </c>
      <c r="I69" s="118"/>
      <c r="J69" s="118"/>
      <c r="K69" s="157"/>
      <c r="R69" s="154" t="s">
        <v>23</v>
      </c>
      <c r="S69" s="118">
        <f t="shared" ref="S69:S70" si="3">1</f>
        <v>1</v>
      </c>
      <c r="T69" s="118"/>
      <c r="U69" s="118"/>
      <c r="V69" s="118">
        <f t="shared" ref="V69:V70" si="4">1</f>
        <v>1</v>
      </c>
      <c r="W69" s="118"/>
      <c r="X69" s="118"/>
      <c r="Y69" s="118"/>
      <c r="Z69" s="118"/>
      <c r="AA69" s="118"/>
      <c r="AB69" s="149"/>
    </row>
    <row r="70" ht="15.75" customHeight="1">
      <c r="A70" s="284"/>
      <c r="B70" s="131" t="s">
        <v>5</v>
      </c>
      <c r="C70" s="131" t="s">
        <v>49</v>
      </c>
      <c r="D70" s="131" t="s">
        <v>50</v>
      </c>
      <c r="E70" s="131" t="s">
        <v>51</v>
      </c>
      <c r="F70" s="131" t="s">
        <v>52</v>
      </c>
      <c r="G70" s="131" t="s">
        <v>10</v>
      </c>
      <c r="H70" s="131" t="s">
        <v>11</v>
      </c>
      <c r="I70" s="131" t="s">
        <v>12</v>
      </c>
      <c r="J70" s="131" t="s">
        <v>13</v>
      </c>
      <c r="K70" s="314" t="s">
        <v>53</v>
      </c>
      <c r="R70" s="80" t="s">
        <v>28</v>
      </c>
      <c r="S70" s="118">
        <f t="shared" si="3"/>
        <v>1</v>
      </c>
      <c r="T70" s="118"/>
      <c r="U70" s="118"/>
      <c r="V70" s="118">
        <f t="shared" si="4"/>
        <v>1</v>
      </c>
      <c r="W70" s="118"/>
      <c r="X70" s="118"/>
      <c r="Y70" s="118"/>
      <c r="Z70" s="118"/>
      <c r="AA70" s="118"/>
      <c r="AB70" s="149"/>
    </row>
    <row r="71" ht="15.75" customHeight="1">
      <c r="A71" s="80" t="s">
        <v>74</v>
      </c>
      <c r="B71" s="118"/>
      <c r="C71" s="118"/>
      <c r="D71" s="118"/>
      <c r="E71" s="118"/>
      <c r="F71" s="118"/>
      <c r="G71" s="118"/>
      <c r="H71" s="118"/>
      <c r="I71" s="118"/>
      <c r="J71" s="118"/>
      <c r="K71" s="157"/>
      <c r="R71" s="8"/>
      <c r="S71" s="127"/>
      <c r="T71" s="127"/>
      <c r="U71" s="127"/>
      <c r="V71" s="127"/>
      <c r="W71" s="127"/>
      <c r="X71" s="127"/>
      <c r="Y71" s="127"/>
      <c r="Z71" s="127"/>
      <c r="AA71" s="127"/>
      <c r="AB71" s="371">
        <f>SUM(AB69:AB70)</f>
        <v>0</v>
      </c>
    </row>
    <row r="72" ht="15.75" customHeight="1">
      <c r="A72" s="80" t="s">
        <v>94</v>
      </c>
      <c r="B72" s="118"/>
      <c r="C72" s="118"/>
      <c r="D72" s="118"/>
      <c r="E72" s="118"/>
      <c r="F72" s="118"/>
      <c r="G72" s="118"/>
      <c r="H72" s="118"/>
      <c r="I72" s="118"/>
      <c r="J72" s="118"/>
      <c r="K72" s="157"/>
      <c r="AB72" s="370"/>
    </row>
    <row r="73" ht="15.75" customHeight="1">
      <c r="A73" s="8"/>
      <c r="B73" s="127"/>
      <c r="C73" s="127"/>
      <c r="D73" s="127"/>
      <c r="E73" s="127"/>
      <c r="F73" s="127"/>
      <c r="G73" s="127"/>
      <c r="H73" s="127"/>
      <c r="I73" s="127"/>
      <c r="J73" s="127"/>
      <c r="K73" s="338">
        <f>SUM(K71:K72)</f>
        <v>0</v>
      </c>
      <c r="R73" s="156" t="s">
        <v>77</v>
      </c>
      <c r="S73" s="54"/>
      <c r="T73" s="54"/>
      <c r="U73" s="54"/>
      <c r="V73" s="54"/>
      <c r="W73" s="54"/>
      <c r="X73" s="54"/>
      <c r="Y73" s="54"/>
      <c r="Z73" s="54"/>
      <c r="AA73" s="54"/>
      <c r="AB73" s="70"/>
    </row>
    <row r="74" ht="15.75" customHeight="1">
      <c r="A74" s="367" t="s">
        <v>175</v>
      </c>
      <c r="B74" s="54"/>
      <c r="C74" s="54"/>
      <c r="D74" s="54"/>
      <c r="E74" s="54"/>
      <c r="F74" s="54"/>
      <c r="G74" s="54"/>
      <c r="H74" s="54"/>
      <c r="I74" s="54"/>
      <c r="J74" s="54"/>
      <c r="K74" s="70"/>
      <c r="R74" s="284"/>
      <c r="S74" s="81" t="s">
        <v>176</v>
      </c>
      <c r="T74" s="54"/>
      <c r="U74" s="54"/>
      <c r="V74" s="54"/>
      <c r="W74" s="54"/>
      <c r="X74" s="54"/>
      <c r="Y74" s="54"/>
      <c r="Z74" s="54"/>
      <c r="AA74" s="70"/>
      <c r="AB74" s="149"/>
    </row>
    <row r="75" ht="15.75" customHeight="1">
      <c r="A75" s="284"/>
      <c r="B75" s="114" t="s">
        <v>3</v>
      </c>
      <c r="C75" s="54"/>
      <c r="D75" s="54"/>
      <c r="E75" s="54"/>
      <c r="F75" s="54"/>
      <c r="G75" s="54"/>
      <c r="H75" s="54"/>
      <c r="I75" s="54"/>
      <c r="J75" s="101"/>
      <c r="K75" s="157"/>
      <c r="R75" s="284" t="s">
        <v>93</v>
      </c>
      <c r="S75" s="118">
        <v>28.0</v>
      </c>
      <c r="T75" s="118">
        <v>30.0</v>
      </c>
      <c r="U75" s="118">
        <v>32.0</v>
      </c>
      <c r="V75" s="118">
        <v>34.0</v>
      </c>
      <c r="W75" s="118">
        <v>36.0</v>
      </c>
      <c r="X75" s="118">
        <v>38.0</v>
      </c>
      <c r="Y75" s="118">
        <v>40.0</v>
      </c>
      <c r="Z75" s="118"/>
      <c r="AA75" s="341"/>
      <c r="AB75" s="149"/>
    </row>
    <row r="76" ht="15.75" customHeight="1">
      <c r="A76" s="284" t="s">
        <v>93</v>
      </c>
      <c r="B76" s="118">
        <v>28.0</v>
      </c>
      <c r="C76" s="118">
        <v>30.0</v>
      </c>
      <c r="D76" s="118">
        <v>32.0</v>
      </c>
      <c r="E76" s="118">
        <v>34.0</v>
      </c>
      <c r="F76" s="118">
        <v>36.0</v>
      </c>
      <c r="G76" s="118">
        <v>38.0</v>
      </c>
      <c r="H76" s="118">
        <v>40.0</v>
      </c>
      <c r="I76" s="118"/>
      <c r="J76" s="341"/>
      <c r="K76" s="157"/>
      <c r="R76" s="284"/>
      <c r="S76" s="131" t="s">
        <v>5</v>
      </c>
      <c r="T76" s="131" t="s">
        <v>49</v>
      </c>
      <c r="U76" s="131" t="s">
        <v>50</v>
      </c>
      <c r="V76" s="131" t="s">
        <v>51</v>
      </c>
      <c r="W76" s="131" t="s">
        <v>52</v>
      </c>
      <c r="X76" s="131" t="s">
        <v>10</v>
      </c>
      <c r="Y76" s="131" t="s">
        <v>11</v>
      </c>
      <c r="Z76" s="131" t="s">
        <v>12</v>
      </c>
      <c r="AA76" s="342" t="s">
        <v>13</v>
      </c>
      <c r="AB76" s="117" t="s">
        <v>53</v>
      </c>
    </row>
    <row r="77" ht="15.75" customHeight="1">
      <c r="A77" s="284"/>
      <c r="B77" s="131" t="s">
        <v>5</v>
      </c>
      <c r="C77" s="131" t="s">
        <v>49</v>
      </c>
      <c r="D77" s="131" t="s">
        <v>50</v>
      </c>
      <c r="E77" s="131" t="s">
        <v>51</v>
      </c>
      <c r="F77" s="131" t="s">
        <v>52</v>
      </c>
      <c r="G77" s="131" t="s">
        <v>10</v>
      </c>
      <c r="H77" s="131" t="s">
        <v>11</v>
      </c>
      <c r="I77" s="131" t="s">
        <v>12</v>
      </c>
      <c r="J77" s="342" t="s">
        <v>13</v>
      </c>
      <c r="K77" s="314" t="s">
        <v>53</v>
      </c>
      <c r="R77" s="154" t="s">
        <v>137</v>
      </c>
      <c r="S77" s="118">
        <f t="shared" ref="S77:T77" si="5">0</f>
        <v>0</v>
      </c>
      <c r="T77" s="118">
        <f t="shared" si="5"/>
        <v>0</v>
      </c>
      <c r="U77" s="118">
        <f>1</f>
        <v>1</v>
      </c>
      <c r="V77" s="118">
        <f t="shared" ref="V77:AA77" si="6">0</f>
        <v>0</v>
      </c>
      <c r="W77" s="118">
        <f t="shared" si="6"/>
        <v>0</v>
      </c>
      <c r="X77" s="118">
        <f t="shared" si="6"/>
        <v>0</v>
      </c>
      <c r="Y77" s="118">
        <f t="shared" si="6"/>
        <v>0</v>
      </c>
      <c r="Z77" s="118">
        <f t="shared" si="6"/>
        <v>0</v>
      </c>
      <c r="AA77" s="118">
        <f t="shared" si="6"/>
        <v>0</v>
      </c>
      <c r="AB77" s="151">
        <f t="shared" ref="AB77:AB78" si="9">SUM(S77:AA77)</f>
        <v>1</v>
      </c>
    </row>
    <row r="78" ht="15.75" customHeight="1">
      <c r="A78" s="80" t="s">
        <v>74</v>
      </c>
      <c r="B78" s="118">
        <f>0+1-1</f>
        <v>0</v>
      </c>
      <c r="C78" s="118">
        <f>0+2-2</f>
        <v>0</v>
      </c>
      <c r="D78" s="118">
        <f>0+2-2+1</f>
        <v>1</v>
      </c>
      <c r="E78" s="118">
        <f>0+2-1+1-2</f>
        <v>0</v>
      </c>
      <c r="F78" s="118">
        <f>0+3-3</f>
        <v>0</v>
      </c>
      <c r="G78" s="118">
        <f>0</f>
        <v>0</v>
      </c>
      <c r="H78" s="118">
        <f>0+1-1</f>
        <v>0</v>
      </c>
      <c r="I78" s="118">
        <f t="shared" ref="I78:J78" si="7">0</f>
        <v>0</v>
      </c>
      <c r="J78" s="118">
        <f t="shared" si="7"/>
        <v>0</v>
      </c>
      <c r="K78" s="157">
        <f t="shared" ref="K78:K79" si="12">SUM(B78:J78)</f>
        <v>1</v>
      </c>
      <c r="R78" s="80" t="s">
        <v>138</v>
      </c>
      <c r="S78" s="118">
        <f>0</f>
        <v>0</v>
      </c>
      <c r="T78" s="119">
        <f>1</f>
        <v>1</v>
      </c>
      <c r="U78" s="118">
        <f t="shared" ref="U78:AA78" si="8">0</f>
        <v>0</v>
      </c>
      <c r="V78" s="118">
        <f t="shared" si="8"/>
        <v>0</v>
      </c>
      <c r="W78" s="118">
        <f t="shared" si="8"/>
        <v>0</v>
      </c>
      <c r="X78" s="118">
        <f t="shared" si="8"/>
        <v>0</v>
      </c>
      <c r="Y78" s="118">
        <f t="shared" si="8"/>
        <v>0</v>
      </c>
      <c r="Z78" s="118">
        <f t="shared" si="8"/>
        <v>0</v>
      </c>
      <c r="AA78" s="118">
        <f t="shared" si="8"/>
        <v>0</v>
      </c>
      <c r="AB78" s="151">
        <f t="shared" si="9"/>
        <v>1</v>
      </c>
    </row>
    <row r="79" ht="15.75" customHeight="1">
      <c r="A79" s="80" t="s">
        <v>94</v>
      </c>
      <c r="B79" s="118">
        <f t="shared" ref="B79:C79" si="10">0+1</f>
        <v>1</v>
      </c>
      <c r="C79" s="118">
        <f t="shared" si="10"/>
        <v>1</v>
      </c>
      <c r="D79" s="118">
        <f>0+5+3</f>
        <v>8</v>
      </c>
      <c r="E79" s="118">
        <f>0+1-1+1-1+1+1</f>
        <v>2</v>
      </c>
      <c r="F79" s="118">
        <f>0+3+1</f>
        <v>4</v>
      </c>
      <c r="G79" s="118">
        <f>0+3</f>
        <v>3</v>
      </c>
      <c r="H79" s="118">
        <f>0+2-1</f>
        <v>1</v>
      </c>
      <c r="I79" s="118">
        <f t="shared" ref="I79:J79" si="11">0</f>
        <v>0</v>
      </c>
      <c r="J79" s="118">
        <f t="shared" si="11"/>
        <v>0</v>
      </c>
      <c r="K79" s="157">
        <f t="shared" si="12"/>
        <v>20</v>
      </c>
      <c r="R79" s="8"/>
      <c r="S79" s="127"/>
      <c r="T79" s="127"/>
      <c r="U79" s="127"/>
      <c r="V79" s="127"/>
      <c r="W79" s="127"/>
      <c r="X79" s="127"/>
      <c r="Y79" s="127"/>
      <c r="Z79" s="127"/>
      <c r="AA79" s="127"/>
      <c r="AB79" s="372">
        <f>SUM(AB77:AB78)</f>
        <v>2</v>
      </c>
    </row>
    <row r="80" ht="15.75" customHeight="1">
      <c r="A80" s="8"/>
      <c r="B80" s="127"/>
      <c r="C80" s="127"/>
      <c r="D80" s="127"/>
      <c r="E80" s="127"/>
      <c r="F80" s="127"/>
      <c r="G80" s="127"/>
      <c r="H80" s="127"/>
      <c r="I80" s="127"/>
      <c r="J80" s="127"/>
      <c r="K80" s="329">
        <f>SUM(K78:K79)</f>
        <v>21</v>
      </c>
      <c r="AB80" s="370"/>
    </row>
    <row r="81" ht="15.75" customHeight="1">
      <c r="A81" s="8"/>
      <c r="B81" s="127"/>
      <c r="C81" s="127"/>
      <c r="D81" s="127"/>
      <c r="E81" s="127"/>
      <c r="F81" s="127"/>
      <c r="G81" s="127"/>
      <c r="H81" s="127"/>
      <c r="I81" s="127"/>
      <c r="J81" s="127"/>
      <c r="K81" s="373"/>
      <c r="R81" s="156" t="s">
        <v>77</v>
      </c>
      <c r="S81" s="54"/>
      <c r="T81" s="54"/>
      <c r="U81" s="54"/>
      <c r="V81" s="54"/>
      <c r="W81" s="54"/>
      <c r="X81" s="54"/>
      <c r="Y81" s="54"/>
      <c r="Z81" s="54"/>
      <c r="AA81" s="54"/>
      <c r="AB81" s="70"/>
    </row>
    <row r="82" ht="15.75" customHeight="1">
      <c r="A82" s="367" t="s">
        <v>177</v>
      </c>
      <c r="B82" s="54"/>
      <c r="C82" s="54"/>
      <c r="D82" s="54"/>
      <c r="E82" s="54"/>
      <c r="F82" s="54"/>
      <c r="G82" s="54"/>
      <c r="H82" s="54"/>
      <c r="I82" s="54"/>
      <c r="J82" s="54"/>
      <c r="K82" s="70"/>
      <c r="R82" s="284"/>
      <c r="S82" s="81" t="s">
        <v>178</v>
      </c>
      <c r="T82" s="54"/>
      <c r="U82" s="54"/>
      <c r="V82" s="54"/>
      <c r="W82" s="54"/>
      <c r="X82" s="54"/>
      <c r="Y82" s="54"/>
      <c r="Z82" s="54"/>
      <c r="AA82" s="70"/>
      <c r="AB82" s="149"/>
    </row>
    <row r="83" ht="15.75" customHeight="1">
      <c r="A83" s="284"/>
      <c r="B83" s="114" t="s">
        <v>2</v>
      </c>
      <c r="C83" s="54"/>
      <c r="D83" s="54"/>
      <c r="E83" s="54"/>
      <c r="F83" s="54"/>
      <c r="G83" s="54"/>
      <c r="H83" s="54"/>
      <c r="I83" s="54"/>
      <c r="J83" s="70"/>
      <c r="K83" s="157"/>
      <c r="R83" s="284" t="s">
        <v>93</v>
      </c>
      <c r="S83" s="284"/>
      <c r="T83" s="118">
        <v>28.0</v>
      </c>
      <c r="U83" s="118">
        <v>30.0</v>
      </c>
      <c r="V83" s="118">
        <v>32.0</v>
      </c>
      <c r="W83" s="118">
        <v>34.0</v>
      </c>
      <c r="X83" s="118">
        <v>36.0</v>
      </c>
      <c r="Y83" s="118">
        <v>38.0</v>
      </c>
      <c r="Z83" s="118">
        <v>40.0</v>
      </c>
      <c r="AA83" s="118"/>
      <c r="AB83" s="341"/>
      <c r="AC83" s="149"/>
    </row>
    <row r="84" ht="15.75" customHeight="1">
      <c r="A84" s="284" t="s">
        <v>93</v>
      </c>
      <c r="B84" s="118">
        <v>28.0</v>
      </c>
      <c r="C84" s="118">
        <v>30.0</v>
      </c>
      <c r="D84" s="118">
        <v>32.0</v>
      </c>
      <c r="E84" s="118">
        <v>34.0</v>
      </c>
      <c r="F84" s="118">
        <v>36.0</v>
      </c>
      <c r="G84" s="118">
        <v>38.0</v>
      </c>
      <c r="H84" s="118">
        <v>40.0</v>
      </c>
      <c r="I84" s="118"/>
      <c r="J84" s="118"/>
      <c r="K84" s="157"/>
      <c r="R84" s="284"/>
      <c r="S84" s="131" t="s">
        <v>140</v>
      </c>
      <c r="T84" s="131" t="s">
        <v>5</v>
      </c>
      <c r="U84" s="131" t="s">
        <v>49</v>
      </c>
      <c r="V84" s="131" t="s">
        <v>50</v>
      </c>
      <c r="W84" s="131" t="s">
        <v>51</v>
      </c>
      <c r="X84" s="131" t="s">
        <v>52</v>
      </c>
      <c r="Y84" s="131" t="s">
        <v>10</v>
      </c>
      <c r="Z84" s="131" t="s">
        <v>11</v>
      </c>
      <c r="AA84" s="131" t="s">
        <v>12</v>
      </c>
      <c r="AB84" s="342" t="s">
        <v>13</v>
      </c>
      <c r="AC84" s="117" t="s">
        <v>53</v>
      </c>
    </row>
    <row r="85" ht="15.75" customHeight="1">
      <c r="A85" s="284"/>
      <c r="B85" s="131" t="s">
        <v>5</v>
      </c>
      <c r="C85" s="131" t="s">
        <v>49</v>
      </c>
      <c r="D85" s="131" t="s">
        <v>50</v>
      </c>
      <c r="E85" s="131" t="s">
        <v>51</v>
      </c>
      <c r="F85" s="131" t="s">
        <v>52</v>
      </c>
      <c r="G85" s="131" t="s">
        <v>10</v>
      </c>
      <c r="H85" s="131" t="s">
        <v>11</v>
      </c>
      <c r="I85" s="131" t="s">
        <v>12</v>
      </c>
      <c r="J85" s="131" t="s">
        <v>13</v>
      </c>
      <c r="K85" s="314" t="s">
        <v>53</v>
      </c>
      <c r="R85" s="154" t="s">
        <v>137</v>
      </c>
      <c r="S85" s="106">
        <f t="shared" ref="S85:T85" si="13">0</f>
        <v>0</v>
      </c>
      <c r="T85" s="106">
        <f t="shared" si="13"/>
        <v>0</v>
      </c>
      <c r="U85" s="106">
        <f>0+1+1-2+1+1-1</f>
        <v>1</v>
      </c>
      <c r="V85" s="106">
        <f t="shared" ref="V85:AB85" si="14">0</f>
        <v>0</v>
      </c>
      <c r="W85" s="106">
        <f t="shared" si="14"/>
        <v>0</v>
      </c>
      <c r="X85" s="106">
        <f t="shared" si="14"/>
        <v>0</v>
      </c>
      <c r="Y85" s="106">
        <f t="shared" si="14"/>
        <v>0</v>
      </c>
      <c r="Z85" s="106">
        <f t="shared" si="14"/>
        <v>0</v>
      </c>
      <c r="AA85" s="106">
        <f t="shared" si="14"/>
        <v>0</v>
      </c>
      <c r="AB85" s="106">
        <f t="shared" si="14"/>
        <v>0</v>
      </c>
      <c r="AC85" s="151"/>
    </row>
    <row r="86" ht="15.75" customHeight="1">
      <c r="A86" s="80" t="s">
        <v>74</v>
      </c>
      <c r="B86" s="118"/>
      <c r="C86" s="86">
        <v>1.0</v>
      </c>
      <c r="D86" s="118"/>
      <c r="E86" s="118"/>
      <c r="F86" s="118"/>
      <c r="G86" s="118"/>
      <c r="H86" s="118"/>
      <c r="I86" s="118"/>
      <c r="J86" s="118"/>
      <c r="K86" s="157"/>
      <c r="R86" s="80" t="s">
        <v>138</v>
      </c>
      <c r="S86" s="106">
        <f t="shared" ref="S86:U86" si="15">0</f>
        <v>0</v>
      </c>
      <c r="T86" s="106">
        <f t="shared" si="15"/>
        <v>0</v>
      </c>
      <c r="U86" s="106">
        <f t="shared" si="15"/>
        <v>0</v>
      </c>
      <c r="V86" s="106">
        <f>0+1</f>
        <v>1</v>
      </c>
      <c r="W86" s="106">
        <f t="shared" ref="W86:AB86" si="16">0</f>
        <v>0</v>
      </c>
      <c r="X86" s="106">
        <f t="shared" si="16"/>
        <v>0</v>
      </c>
      <c r="Y86" s="106">
        <f t="shared" si="16"/>
        <v>0</v>
      </c>
      <c r="Z86" s="106">
        <f t="shared" si="16"/>
        <v>0</v>
      </c>
      <c r="AA86" s="106">
        <f t="shared" si="16"/>
        <v>0</v>
      </c>
      <c r="AB86" s="106">
        <f t="shared" si="16"/>
        <v>0</v>
      </c>
      <c r="AC86" s="151"/>
    </row>
    <row r="87" ht="15.75" customHeight="1">
      <c r="A87" s="154" t="s">
        <v>14</v>
      </c>
      <c r="B87" s="118"/>
      <c r="C87" s="118"/>
      <c r="D87" s="118"/>
      <c r="E87" s="118"/>
      <c r="F87" s="118">
        <f>1-1</f>
        <v>0</v>
      </c>
      <c r="G87" s="118"/>
      <c r="H87" s="118"/>
      <c r="I87" s="118"/>
      <c r="J87" s="118"/>
      <c r="K87" s="157"/>
      <c r="R87" s="8"/>
      <c r="S87" s="127"/>
      <c r="T87" s="127"/>
      <c r="U87" s="127"/>
      <c r="V87" s="127"/>
      <c r="W87" s="374"/>
      <c r="X87" s="127"/>
      <c r="Y87" s="127"/>
      <c r="Z87" s="127"/>
      <c r="AA87" s="127"/>
      <c r="AC87" s="372">
        <f>SUM(AC85:AC86)</f>
        <v>0</v>
      </c>
    </row>
    <row r="88" ht="15.75" customHeight="1">
      <c r="A88" s="80" t="s">
        <v>15</v>
      </c>
      <c r="B88" s="118"/>
      <c r="C88" s="118"/>
      <c r="D88" s="118">
        <f>1-1</f>
        <v>0</v>
      </c>
      <c r="E88" s="118"/>
      <c r="F88" s="118"/>
      <c r="G88" s="118"/>
      <c r="H88" s="118"/>
      <c r="I88" s="118"/>
      <c r="J88" s="118"/>
      <c r="K88" s="157"/>
      <c r="AB88" s="370"/>
    </row>
    <row r="89" ht="15.75" customHeight="1">
      <c r="A89" s="154" t="s">
        <v>96</v>
      </c>
      <c r="B89" s="118"/>
      <c r="C89" s="118"/>
      <c r="D89" s="118"/>
      <c r="E89" s="118"/>
      <c r="F89" s="118"/>
      <c r="G89" s="118"/>
      <c r="H89" s="118"/>
      <c r="I89" s="118"/>
      <c r="J89" s="118"/>
      <c r="K89" s="157"/>
      <c r="R89" s="156" t="s">
        <v>77</v>
      </c>
      <c r="S89" s="54"/>
      <c r="T89" s="54"/>
      <c r="U89" s="54"/>
      <c r="V89" s="54"/>
      <c r="W89" s="54"/>
      <c r="X89" s="54"/>
      <c r="Y89" s="54"/>
      <c r="Z89" s="54"/>
      <c r="AA89" s="54"/>
      <c r="AB89" s="70"/>
    </row>
    <row r="90" ht="15.75" customHeight="1">
      <c r="A90" s="154" t="s">
        <v>18</v>
      </c>
      <c r="B90" s="118"/>
      <c r="C90" s="118"/>
      <c r="D90" s="118"/>
      <c r="E90" s="118"/>
      <c r="F90" s="118"/>
      <c r="G90" s="118"/>
      <c r="H90" s="118"/>
      <c r="I90" s="118"/>
      <c r="J90" s="118"/>
      <c r="K90" s="157"/>
      <c r="R90" s="284"/>
      <c r="S90" s="81" t="s">
        <v>179</v>
      </c>
      <c r="T90" s="54"/>
      <c r="U90" s="54"/>
      <c r="V90" s="54"/>
      <c r="W90" s="54"/>
      <c r="X90" s="54"/>
      <c r="Y90" s="54"/>
      <c r="Z90" s="54"/>
      <c r="AA90" s="70"/>
      <c r="AB90" s="149"/>
    </row>
    <row r="91" ht="15.75" customHeight="1">
      <c r="A91" s="8"/>
      <c r="B91" s="127"/>
      <c r="C91" s="127"/>
      <c r="D91" s="127"/>
      <c r="E91" s="127"/>
      <c r="F91" s="127"/>
      <c r="G91" s="127"/>
      <c r="H91" s="127"/>
      <c r="I91" s="127"/>
      <c r="J91" s="127"/>
      <c r="K91" s="338">
        <f>SUM(K86:K90)</f>
        <v>0</v>
      </c>
      <c r="R91" s="284" t="s">
        <v>93</v>
      </c>
      <c r="S91" s="284"/>
      <c r="T91" s="118">
        <v>28.0</v>
      </c>
      <c r="U91" s="118">
        <v>30.0</v>
      </c>
      <c r="V91" s="118">
        <v>32.0</v>
      </c>
      <c r="W91" s="118">
        <v>34.0</v>
      </c>
      <c r="X91" s="118">
        <v>36.0</v>
      </c>
      <c r="Y91" s="118">
        <v>38.0</v>
      </c>
      <c r="Z91" s="118">
        <v>40.0</v>
      </c>
      <c r="AA91" s="118"/>
      <c r="AB91" s="341"/>
      <c r="AC91" s="149"/>
    </row>
    <row r="92" ht="15.75" customHeight="1">
      <c r="A92" s="367" t="s">
        <v>180</v>
      </c>
      <c r="B92" s="54"/>
      <c r="C92" s="54"/>
      <c r="D92" s="54"/>
      <c r="E92" s="54"/>
      <c r="F92" s="54"/>
      <c r="G92" s="54"/>
      <c r="H92" s="54"/>
      <c r="I92" s="54"/>
      <c r="J92" s="54"/>
      <c r="K92" s="70"/>
      <c r="R92" s="284"/>
      <c r="S92" s="131" t="s">
        <v>140</v>
      </c>
      <c r="T92" s="131" t="s">
        <v>5</v>
      </c>
      <c r="U92" s="131" t="s">
        <v>49</v>
      </c>
      <c r="V92" s="131" t="s">
        <v>50</v>
      </c>
      <c r="W92" s="131" t="s">
        <v>51</v>
      </c>
      <c r="X92" s="131" t="s">
        <v>52</v>
      </c>
      <c r="Y92" s="131" t="s">
        <v>10</v>
      </c>
      <c r="Z92" s="131" t="s">
        <v>11</v>
      </c>
      <c r="AA92" s="131" t="s">
        <v>12</v>
      </c>
      <c r="AB92" s="342" t="s">
        <v>13</v>
      </c>
      <c r="AC92" s="117" t="s">
        <v>53</v>
      </c>
    </row>
    <row r="93" ht="15.75" customHeight="1">
      <c r="A93" s="284"/>
      <c r="B93" s="114" t="s">
        <v>3</v>
      </c>
      <c r="C93" s="54"/>
      <c r="D93" s="54"/>
      <c r="E93" s="54"/>
      <c r="F93" s="54"/>
      <c r="G93" s="54"/>
      <c r="H93" s="54"/>
      <c r="I93" s="54"/>
      <c r="J93" s="101"/>
      <c r="K93" s="157"/>
      <c r="R93" s="154" t="s">
        <v>137</v>
      </c>
      <c r="S93" s="106">
        <f t="shared" ref="S93:S94" si="19">0</f>
        <v>0</v>
      </c>
      <c r="T93" s="106">
        <f t="shared" ref="T93:U93" si="17">0+1</f>
        <v>1</v>
      </c>
      <c r="U93" s="106">
        <f t="shared" si="17"/>
        <v>1</v>
      </c>
      <c r="V93" s="106">
        <f t="shared" ref="V93:AB93" si="18">0</f>
        <v>0</v>
      </c>
      <c r="W93" s="106">
        <f t="shared" si="18"/>
        <v>0</v>
      </c>
      <c r="X93" s="106">
        <f t="shared" si="18"/>
        <v>0</v>
      </c>
      <c r="Y93" s="106">
        <f t="shared" si="18"/>
        <v>0</v>
      </c>
      <c r="Z93" s="106">
        <f t="shared" si="18"/>
        <v>0</v>
      </c>
      <c r="AA93" s="106">
        <f t="shared" si="18"/>
        <v>0</v>
      </c>
      <c r="AB93" s="118">
        <f t="shared" si="18"/>
        <v>0</v>
      </c>
      <c r="AC93" s="151">
        <f t="shared" ref="AC93:AC94" si="21">SUM(S93:AB93)</f>
        <v>2</v>
      </c>
    </row>
    <row r="94" ht="15.75" customHeight="1">
      <c r="A94" s="284" t="s">
        <v>93</v>
      </c>
      <c r="B94" s="118">
        <v>28.0</v>
      </c>
      <c r="C94" s="118">
        <v>30.0</v>
      </c>
      <c r="D94" s="118">
        <v>32.0</v>
      </c>
      <c r="E94" s="118">
        <v>34.0</v>
      </c>
      <c r="F94" s="118">
        <v>36.0</v>
      </c>
      <c r="G94" s="118">
        <v>38.0</v>
      </c>
      <c r="H94" s="118">
        <v>40.0</v>
      </c>
      <c r="I94" s="118"/>
      <c r="J94" s="341"/>
      <c r="K94" s="157"/>
      <c r="R94" s="80" t="s">
        <v>138</v>
      </c>
      <c r="S94" s="106">
        <f t="shared" si="19"/>
        <v>0</v>
      </c>
      <c r="T94" s="106">
        <f>0+1</f>
        <v>1</v>
      </c>
      <c r="U94" s="106">
        <f>0+1-1</f>
        <v>0</v>
      </c>
      <c r="V94" s="106">
        <f>0</f>
        <v>0</v>
      </c>
      <c r="W94" s="106">
        <f>0+1</f>
        <v>1</v>
      </c>
      <c r="X94" s="106">
        <f t="shared" ref="X94:AB94" si="20">0</f>
        <v>0</v>
      </c>
      <c r="Y94" s="106">
        <f t="shared" si="20"/>
        <v>0</v>
      </c>
      <c r="Z94" s="106">
        <f t="shared" si="20"/>
        <v>0</v>
      </c>
      <c r="AA94" s="106">
        <f t="shared" si="20"/>
        <v>0</v>
      </c>
      <c r="AB94" s="118">
        <f t="shared" si="20"/>
        <v>0</v>
      </c>
      <c r="AC94" s="151">
        <f t="shared" si="21"/>
        <v>2</v>
      </c>
    </row>
    <row r="95" ht="15.75" customHeight="1">
      <c r="A95" s="284"/>
      <c r="B95" s="131" t="s">
        <v>5</v>
      </c>
      <c r="C95" s="131" t="s">
        <v>49</v>
      </c>
      <c r="D95" s="131" t="s">
        <v>50</v>
      </c>
      <c r="E95" s="131" t="s">
        <v>51</v>
      </c>
      <c r="F95" s="131" t="s">
        <v>52</v>
      </c>
      <c r="G95" s="131" t="s">
        <v>10</v>
      </c>
      <c r="H95" s="131" t="s">
        <v>11</v>
      </c>
      <c r="I95" s="131" t="s">
        <v>12</v>
      </c>
      <c r="J95" s="342" t="s">
        <v>13</v>
      </c>
      <c r="K95" s="314" t="s">
        <v>53</v>
      </c>
      <c r="R95" s="8"/>
      <c r="S95" s="127"/>
      <c r="T95" s="127"/>
      <c r="U95" s="127"/>
      <c r="V95" s="127"/>
      <c r="W95" s="127"/>
      <c r="X95" s="127"/>
      <c r="Y95" s="127"/>
      <c r="Z95" s="127"/>
      <c r="AA95" s="127"/>
      <c r="AC95" s="372">
        <f>SUM(AC93:AC94)</f>
        <v>4</v>
      </c>
    </row>
    <row r="96" ht="15.75" customHeight="1">
      <c r="A96" s="80" t="s">
        <v>74</v>
      </c>
      <c r="B96" s="118"/>
      <c r="C96" s="118"/>
      <c r="D96" s="118"/>
      <c r="E96" s="118"/>
      <c r="F96" s="118"/>
      <c r="G96" s="118"/>
      <c r="H96" s="118"/>
      <c r="I96" s="118"/>
      <c r="J96" s="118"/>
      <c r="K96" s="157"/>
      <c r="AB96" s="375"/>
    </row>
    <row r="97" ht="15.75" customHeight="1">
      <c r="A97" s="154" t="s">
        <v>14</v>
      </c>
      <c r="B97" s="118"/>
      <c r="C97" s="118"/>
      <c r="D97" s="118"/>
      <c r="E97" s="118"/>
      <c r="F97" s="118"/>
      <c r="G97" s="118"/>
      <c r="H97" s="118"/>
      <c r="I97" s="118"/>
      <c r="J97" s="118"/>
      <c r="K97" s="157"/>
      <c r="AB97" s="370"/>
    </row>
    <row r="98" ht="15.75" customHeight="1">
      <c r="A98" s="80" t="s">
        <v>15</v>
      </c>
      <c r="B98" s="118"/>
      <c r="C98" s="118"/>
      <c r="D98" s="118"/>
      <c r="E98" s="118"/>
      <c r="F98" s="118"/>
      <c r="G98" s="118"/>
      <c r="H98" s="118"/>
      <c r="I98" s="118"/>
      <c r="J98" s="118"/>
      <c r="K98" s="157"/>
      <c r="R98" s="156" t="s">
        <v>77</v>
      </c>
      <c r="S98" s="54"/>
      <c r="T98" s="54"/>
      <c r="U98" s="54"/>
      <c r="V98" s="54"/>
      <c r="W98" s="54"/>
      <c r="X98" s="54"/>
      <c r="Y98" s="54"/>
      <c r="Z98" s="54"/>
      <c r="AA98" s="54"/>
      <c r="AB98" s="70"/>
    </row>
    <row r="99" ht="15.75" customHeight="1">
      <c r="A99" s="154" t="s">
        <v>96</v>
      </c>
      <c r="B99" s="118"/>
      <c r="C99" s="118"/>
      <c r="D99" s="118"/>
      <c r="E99" s="118"/>
      <c r="F99" s="118"/>
      <c r="G99" s="118"/>
      <c r="H99" s="118"/>
      <c r="I99" s="118"/>
      <c r="J99" s="118"/>
      <c r="K99" s="157"/>
      <c r="R99" s="284"/>
      <c r="S99" s="81" t="s">
        <v>181</v>
      </c>
      <c r="T99" s="54"/>
      <c r="U99" s="54"/>
      <c r="V99" s="54"/>
      <c r="W99" s="54"/>
      <c r="X99" s="54"/>
      <c r="Y99" s="54"/>
      <c r="Z99" s="54"/>
      <c r="AA99" s="70"/>
      <c r="AB99" s="149"/>
    </row>
    <row r="100" ht="15.75" customHeight="1">
      <c r="A100" s="154" t="s">
        <v>18</v>
      </c>
      <c r="B100" s="118"/>
      <c r="C100" s="118"/>
      <c r="D100" s="118"/>
      <c r="E100" s="118"/>
      <c r="F100" s="118"/>
      <c r="G100" s="118"/>
      <c r="H100" s="118"/>
      <c r="I100" s="118"/>
      <c r="J100" s="118"/>
      <c r="K100" s="157"/>
      <c r="R100" s="284" t="s">
        <v>93</v>
      </c>
      <c r="S100" s="118">
        <v>28.0</v>
      </c>
      <c r="T100" s="118">
        <v>30.0</v>
      </c>
      <c r="U100" s="118">
        <v>32.0</v>
      </c>
      <c r="V100" s="118">
        <v>34.0</v>
      </c>
      <c r="W100" s="118">
        <v>36.0</v>
      </c>
      <c r="X100" s="118">
        <v>38.0</v>
      </c>
      <c r="Y100" s="118">
        <v>40.0</v>
      </c>
      <c r="Z100" s="118"/>
      <c r="AA100" s="341"/>
      <c r="AB100" s="149"/>
    </row>
    <row r="101" ht="15.75" customHeight="1">
      <c r="A101" s="176"/>
      <c r="B101" s="127"/>
      <c r="C101" s="127"/>
      <c r="D101" s="127"/>
      <c r="E101" s="127"/>
      <c r="F101" s="127"/>
      <c r="G101" s="127"/>
      <c r="H101" s="127"/>
      <c r="I101" s="127"/>
      <c r="J101" s="127"/>
      <c r="K101" s="329">
        <f>SUM(K96:K100)</f>
        <v>0</v>
      </c>
      <c r="R101" s="284"/>
      <c r="S101" s="131" t="s">
        <v>5</v>
      </c>
      <c r="T101" s="131" t="s">
        <v>49</v>
      </c>
      <c r="U101" s="131" t="s">
        <v>50</v>
      </c>
      <c r="V101" s="131" t="s">
        <v>51</v>
      </c>
      <c r="W101" s="131" t="s">
        <v>52</v>
      </c>
      <c r="X101" s="131" t="s">
        <v>10</v>
      </c>
      <c r="Y101" s="131" t="s">
        <v>11</v>
      </c>
      <c r="Z101" s="131" t="s">
        <v>12</v>
      </c>
      <c r="AA101" s="342" t="s">
        <v>13</v>
      </c>
      <c r="AB101" s="117" t="s">
        <v>53</v>
      </c>
    </row>
    <row r="102" ht="15.75" customHeight="1">
      <c r="A102" s="8"/>
      <c r="B102" s="127"/>
      <c r="C102" s="127"/>
      <c r="D102" s="127"/>
      <c r="E102" s="127"/>
      <c r="F102" s="127"/>
      <c r="G102" s="127"/>
      <c r="H102" s="127"/>
      <c r="I102" s="127"/>
      <c r="J102" s="127"/>
      <c r="K102" s="373"/>
      <c r="R102" s="154" t="s">
        <v>23</v>
      </c>
      <c r="S102" s="118">
        <f>2-1</f>
        <v>1</v>
      </c>
      <c r="T102" s="118">
        <f t="shared" ref="T102:U102" si="22">0</f>
        <v>0</v>
      </c>
      <c r="U102" s="118">
        <f t="shared" si="22"/>
        <v>0</v>
      </c>
      <c r="V102" s="118">
        <f>1-1</f>
        <v>0</v>
      </c>
      <c r="W102" s="118">
        <f t="shared" ref="W102:AA102" si="23">0</f>
        <v>0</v>
      </c>
      <c r="X102" s="118">
        <f t="shared" si="23"/>
        <v>0</v>
      </c>
      <c r="Y102" s="118">
        <f t="shared" si="23"/>
        <v>0</v>
      </c>
      <c r="Z102" s="118">
        <f t="shared" si="23"/>
        <v>0</v>
      </c>
      <c r="AA102" s="118">
        <f t="shared" si="23"/>
        <v>0</v>
      </c>
      <c r="AB102" s="151">
        <f t="shared" ref="AB102:AB104" si="25">SUM(S102:AA102)</f>
        <v>1</v>
      </c>
    </row>
    <row r="103" ht="15.75" customHeight="1">
      <c r="A103" s="367" t="s">
        <v>182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70"/>
      <c r="R103" s="154" t="s">
        <v>14</v>
      </c>
      <c r="S103" s="118">
        <f t="shared" ref="S103:S104" si="26">0</f>
        <v>0</v>
      </c>
      <c r="T103" s="118">
        <f>2</f>
        <v>2</v>
      </c>
      <c r="U103" s="118">
        <f>0</f>
        <v>0</v>
      </c>
      <c r="V103" s="376" t="s">
        <v>183</v>
      </c>
      <c r="W103" s="118">
        <f t="shared" ref="W103:AA103" si="24">0</f>
        <v>0</v>
      </c>
      <c r="X103" s="118">
        <f t="shared" si="24"/>
        <v>0</v>
      </c>
      <c r="Y103" s="118">
        <f t="shared" si="24"/>
        <v>0</v>
      </c>
      <c r="Z103" s="118">
        <f t="shared" si="24"/>
        <v>0</v>
      </c>
      <c r="AA103" s="118">
        <f t="shared" si="24"/>
        <v>0</v>
      </c>
      <c r="AB103" s="151">
        <f t="shared" si="25"/>
        <v>2</v>
      </c>
    </row>
    <row r="104" ht="15.75" customHeight="1">
      <c r="A104" s="284"/>
      <c r="B104" s="114" t="s">
        <v>2</v>
      </c>
      <c r="C104" s="54"/>
      <c r="D104" s="54"/>
      <c r="E104" s="54"/>
      <c r="F104" s="54"/>
      <c r="G104" s="54"/>
      <c r="H104" s="54"/>
      <c r="I104" s="54"/>
      <c r="J104" s="70"/>
      <c r="K104" s="157"/>
      <c r="R104" s="80" t="s">
        <v>28</v>
      </c>
      <c r="S104" s="118">
        <f t="shared" si="26"/>
        <v>0</v>
      </c>
      <c r="T104" s="118">
        <f t="shared" ref="T104:U104" si="27">1</f>
        <v>1</v>
      </c>
      <c r="U104" s="118">
        <f t="shared" si="27"/>
        <v>1</v>
      </c>
      <c r="V104" s="118">
        <f t="shared" ref="V104:AA104" si="28">0</f>
        <v>0</v>
      </c>
      <c r="W104" s="118">
        <f t="shared" si="28"/>
        <v>0</v>
      </c>
      <c r="X104" s="118">
        <f t="shared" si="28"/>
        <v>0</v>
      </c>
      <c r="Y104" s="118">
        <f t="shared" si="28"/>
        <v>0</v>
      </c>
      <c r="Z104" s="118">
        <f t="shared" si="28"/>
        <v>0</v>
      </c>
      <c r="AA104" s="118">
        <f t="shared" si="28"/>
        <v>0</v>
      </c>
      <c r="AB104" s="151">
        <f t="shared" si="25"/>
        <v>2</v>
      </c>
    </row>
    <row r="105" ht="15.75" customHeight="1">
      <c r="A105" s="284" t="s">
        <v>93</v>
      </c>
      <c r="B105" s="118">
        <v>28.0</v>
      </c>
      <c r="C105" s="118">
        <v>30.0</v>
      </c>
      <c r="D105" s="118">
        <v>32.0</v>
      </c>
      <c r="E105" s="118">
        <v>34.0</v>
      </c>
      <c r="F105" s="118">
        <v>36.0</v>
      </c>
      <c r="G105" s="118">
        <v>38.0</v>
      </c>
      <c r="H105" s="118">
        <v>40.0</v>
      </c>
      <c r="I105" s="118"/>
      <c r="J105" s="118"/>
      <c r="K105" s="157"/>
      <c r="R105" s="8"/>
      <c r="S105" s="127"/>
      <c r="T105" s="127"/>
      <c r="U105" s="127"/>
      <c r="V105" s="127"/>
      <c r="W105" s="127"/>
      <c r="X105" s="127"/>
      <c r="Y105" s="127"/>
      <c r="Z105" s="127"/>
      <c r="AA105" s="127"/>
      <c r="AB105" s="372">
        <f>SUM(AB102:AB104)</f>
        <v>5</v>
      </c>
    </row>
    <row r="106" ht="15.75" customHeight="1">
      <c r="A106" s="284"/>
      <c r="B106" s="131" t="s">
        <v>5</v>
      </c>
      <c r="C106" s="131" t="s">
        <v>49</v>
      </c>
      <c r="D106" s="131" t="s">
        <v>50</v>
      </c>
      <c r="E106" s="131" t="s">
        <v>51</v>
      </c>
      <c r="F106" s="131" t="s">
        <v>52</v>
      </c>
      <c r="G106" s="131" t="s">
        <v>10</v>
      </c>
      <c r="H106" s="131" t="s">
        <v>11</v>
      </c>
      <c r="I106" s="131" t="s">
        <v>12</v>
      </c>
      <c r="J106" s="131" t="s">
        <v>13</v>
      </c>
      <c r="K106" s="314" t="s">
        <v>53</v>
      </c>
      <c r="AB106" s="370"/>
    </row>
    <row r="107" ht="15.75" customHeight="1">
      <c r="A107" s="80" t="s">
        <v>18</v>
      </c>
      <c r="B107" s="118"/>
      <c r="C107" s="118"/>
      <c r="D107" s="118"/>
      <c r="E107" s="118"/>
      <c r="F107" s="118"/>
      <c r="G107" s="118"/>
      <c r="H107" s="118"/>
      <c r="I107" s="118"/>
      <c r="J107" s="118"/>
      <c r="K107" s="157"/>
      <c r="R107" s="377" t="s">
        <v>184</v>
      </c>
      <c r="S107" s="54"/>
      <c r="T107" s="54"/>
      <c r="U107" s="54"/>
      <c r="V107" s="54"/>
      <c r="W107" s="54"/>
      <c r="X107" s="54"/>
      <c r="Y107" s="54"/>
      <c r="Z107" s="54"/>
      <c r="AA107" s="54"/>
      <c r="AB107" s="70"/>
    </row>
    <row r="108" ht="15.75" customHeight="1">
      <c r="A108" s="154" t="s">
        <v>29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57"/>
      <c r="R108" s="284" t="s">
        <v>144</v>
      </c>
      <c r="S108" s="131" t="s">
        <v>5</v>
      </c>
      <c r="T108" s="131" t="s">
        <v>49</v>
      </c>
      <c r="U108" s="131" t="s">
        <v>50</v>
      </c>
      <c r="V108" s="131" t="s">
        <v>51</v>
      </c>
      <c r="W108" s="131" t="s">
        <v>52</v>
      </c>
      <c r="X108" s="131" t="s">
        <v>10</v>
      </c>
      <c r="Y108" s="131" t="s">
        <v>11</v>
      </c>
      <c r="Z108" s="131" t="s">
        <v>12</v>
      </c>
      <c r="AA108" s="342" t="s">
        <v>13</v>
      </c>
      <c r="AB108" s="117" t="s">
        <v>53</v>
      </c>
    </row>
    <row r="109" ht="15.75" customHeight="1">
      <c r="A109" s="80" t="s">
        <v>15</v>
      </c>
      <c r="B109" s="118"/>
      <c r="C109" s="118"/>
      <c r="D109" s="118"/>
      <c r="E109" s="118"/>
      <c r="F109" s="118"/>
      <c r="G109" s="118"/>
      <c r="H109" s="118"/>
      <c r="I109" s="118"/>
      <c r="J109" s="118"/>
      <c r="K109" s="157"/>
      <c r="R109" s="284" t="s">
        <v>18</v>
      </c>
      <c r="S109" s="118"/>
      <c r="T109" s="118">
        <f t="shared" ref="T109:T110" si="29">1</f>
        <v>1</v>
      </c>
      <c r="U109" s="118"/>
      <c r="V109" s="118"/>
      <c r="W109" s="118"/>
      <c r="X109" s="118"/>
      <c r="Y109" s="118"/>
      <c r="Z109" s="118"/>
      <c r="AA109" s="118"/>
      <c r="AB109" s="118"/>
    </row>
    <row r="110" ht="15.75" customHeight="1">
      <c r="A110" s="8"/>
      <c r="B110" s="127"/>
      <c r="C110" s="127"/>
      <c r="D110" s="127"/>
      <c r="E110" s="127"/>
      <c r="F110" s="127"/>
      <c r="G110" s="127"/>
      <c r="H110" s="127"/>
      <c r="I110" s="127"/>
      <c r="J110" s="127"/>
      <c r="K110" s="338">
        <f>SUM(K107:K109)</f>
        <v>0</v>
      </c>
      <c r="R110" s="284" t="s">
        <v>43</v>
      </c>
      <c r="S110" s="118"/>
      <c r="T110" s="118">
        <f t="shared" si="29"/>
        <v>1</v>
      </c>
      <c r="U110" s="118"/>
      <c r="V110" s="118"/>
      <c r="W110" s="118"/>
      <c r="X110" s="118"/>
      <c r="Y110" s="118"/>
      <c r="Z110" s="118"/>
      <c r="AA110" s="118"/>
      <c r="AB110" s="118"/>
    </row>
    <row r="111" ht="15.75" customHeight="1">
      <c r="A111" s="367" t="s">
        <v>185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70"/>
      <c r="R111" s="154" t="s">
        <v>81</v>
      </c>
      <c r="S111" s="118"/>
      <c r="T111" s="118"/>
      <c r="U111" s="118"/>
      <c r="V111" s="118"/>
      <c r="W111" s="118"/>
      <c r="X111" s="118"/>
      <c r="Y111" s="118"/>
      <c r="Z111" s="118"/>
      <c r="AA111" s="118"/>
      <c r="AB111" s="118"/>
    </row>
    <row r="112" ht="15.75" customHeight="1">
      <c r="A112" s="284"/>
      <c r="B112" s="114" t="s">
        <v>3</v>
      </c>
      <c r="C112" s="54"/>
      <c r="D112" s="54"/>
      <c r="E112" s="54"/>
      <c r="F112" s="54"/>
      <c r="G112" s="54"/>
      <c r="H112" s="54"/>
      <c r="I112" s="54"/>
      <c r="J112" s="101"/>
      <c r="K112" s="157"/>
      <c r="R112" s="80" t="s">
        <v>14</v>
      </c>
      <c r="S112" s="118"/>
      <c r="T112" s="118"/>
      <c r="U112" s="118"/>
      <c r="V112" s="118"/>
      <c r="W112" s="118"/>
      <c r="X112" s="118"/>
      <c r="Y112" s="118"/>
      <c r="Z112" s="118"/>
      <c r="AA112" s="118"/>
      <c r="AB112" s="118"/>
    </row>
    <row r="113" ht="15.75" customHeight="1">
      <c r="A113" s="284" t="s">
        <v>93</v>
      </c>
      <c r="B113" s="118">
        <v>28.0</v>
      </c>
      <c r="C113" s="118">
        <v>30.0</v>
      </c>
      <c r="D113" s="118">
        <v>32.0</v>
      </c>
      <c r="E113" s="118">
        <v>34.0</v>
      </c>
      <c r="F113" s="118">
        <v>36.0</v>
      </c>
      <c r="G113" s="118">
        <v>38.0</v>
      </c>
      <c r="H113" s="118">
        <v>40.0</v>
      </c>
      <c r="I113" s="118"/>
      <c r="J113" s="341"/>
      <c r="K113" s="157"/>
      <c r="R113" s="80" t="s">
        <v>15</v>
      </c>
      <c r="S113" s="118"/>
      <c r="T113" s="118"/>
      <c r="U113" s="118"/>
      <c r="V113" s="118"/>
      <c r="W113" s="118"/>
      <c r="X113" s="118"/>
      <c r="Y113" s="118"/>
      <c r="Z113" s="118"/>
      <c r="AA113" s="118"/>
      <c r="AB113" s="118"/>
    </row>
    <row r="114" ht="15.75" customHeight="1">
      <c r="A114" s="284"/>
      <c r="B114" s="131" t="s">
        <v>5</v>
      </c>
      <c r="C114" s="131" t="s">
        <v>49</v>
      </c>
      <c r="D114" s="131" t="s">
        <v>50</v>
      </c>
      <c r="E114" s="131" t="s">
        <v>51</v>
      </c>
      <c r="F114" s="131" t="s">
        <v>52</v>
      </c>
      <c r="G114" s="131" t="s">
        <v>10</v>
      </c>
      <c r="H114" s="131" t="s">
        <v>11</v>
      </c>
      <c r="I114" s="131" t="s">
        <v>12</v>
      </c>
      <c r="J114" s="342" t="s">
        <v>13</v>
      </c>
      <c r="K114" s="314" t="s">
        <v>53</v>
      </c>
      <c r="R114" s="378" t="s">
        <v>17</v>
      </c>
      <c r="S114" s="118"/>
      <c r="T114" s="118"/>
      <c r="U114" s="118"/>
      <c r="V114" s="118"/>
      <c r="W114" s="118"/>
      <c r="X114" s="118"/>
      <c r="Y114" s="118"/>
      <c r="Z114" s="118"/>
      <c r="AA114" s="118"/>
      <c r="AB114" s="118"/>
    </row>
    <row r="115" ht="15.75" customHeight="1">
      <c r="A115" s="80" t="s">
        <v>18</v>
      </c>
      <c r="B115" s="118"/>
      <c r="C115" s="118">
        <f>1</f>
        <v>1</v>
      </c>
      <c r="D115" s="118"/>
      <c r="E115" s="118"/>
      <c r="F115" s="118"/>
      <c r="G115" s="118"/>
      <c r="H115" s="118"/>
      <c r="I115" s="118"/>
      <c r="J115" s="118"/>
      <c r="K115" s="157"/>
      <c r="AB115" s="379">
        <f>SUM(AB109:AB114)</f>
        <v>0</v>
      </c>
    </row>
    <row r="116" ht="15.75" customHeight="1">
      <c r="A116" s="154" t="s">
        <v>29</v>
      </c>
      <c r="B116" s="118"/>
      <c r="C116" s="118"/>
      <c r="D116" s="118"/>
      <c r="E116" s="118"/>
      <c r="F116" s="118"/>
      <c r="G116" s="118"/>
      <c r="H116" s="118"/>
      <c r="I116" s="118"/>
      <c r="J116" s="118"/>
      <c r="K116" s="157"/>
      <c r="R116" s="377" t="s">
        <v>186</v>
      </c>
      <c r="S116" s="54"/>
      <c r="T116" s="54"/>
      <c r="U116" s="54"/>
      <c r="V116" s="54"/>
      <c r="W116" s="54"/>
      <c r="X116" s="54"/>
      <c r="Y116" s="54"/>
      <c r="Z116" s="54"/>
      <c r="AA116" s="54"/>
      <c r="AB116" s="70"/>
    </row>
    <row r="117" ht="15.75" customHeight="1">
      <c r="A117" s="80" t="s">
        <v>15</v>
      </c>
      <c r="B117" s="118"/>
      <c r="C117" s="118"/>
      <c r="D117" s="118"/>
      <c r="E117" s="118">
        <f>1-1</f>
        <v>0</v>
      </c>
      <c r="F117" s="118"/>
      <c r="G117" s="118"/>
      <c r="H117" s="118"/>
      <c r="I117" s="118"/>
      <c r="J117" s="118"/>
      <c r="K117" s="157"/>
      <c r="R117" s="284" t="s">
        <v>144</v>
      </c>
      <c r="S117" s="131" t="s">
        <v>5</v>
      </c>
      <c r="T117" s="131" t="s">
        <v>49</v>
      </c>
      <c r="U117" s="131" t="s">
        <v>50</v>
      </c>
      <c r="V117" s="131" t="s">
        <v>51</v>
      </c>
      <c r="W117" s="131" t="s">
        <v>52</v>
      </c>
      <c r="X117" s="131" t="s">
        <v>10</v>
      </c>
      <c r="Y117" s="131" t="s">
        <v>11</v>
      </c>
      <c r="Z117" s="131" t="s">
        <v>12</v>
      </c>
      <c r="AA117" s="342" t="s">
        <v>13</v>
      </c>
      <c r="AB117" s="117" t="s">
        <v>53</v>
      </c>
    </row>
    <row r="118" ht="15.75" customHeight="1">
      <c r="A118" s="8"/>
      <c r="B118" s="127"/>
      <c r="C118" s="127"/>
      <c r="D118" s="127"/>
      <c r="E118" s="127"/>
      <c r="F118" s="127"/>
      <c r="G118" s="127"/>
      <c r="H118" s="127" t="s">
        <v>0</v>
      </c>
      <c r="I118" s="127"/>
      <c r="J118" s="127"/>
      <c r="K118" s="329">
        <f>SUM(K115:K117)</f>
        <v>0</v>
      </c>
      <c r="R118" s="284" t="s">
        <v>43</v>
      </c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</row>
    <row r="119" ht="15.75" customHeight="1">
      <c r="A119" s="8"/>
      <c r="B119" s="127"/>
      <c r="C119" s="127"/>
      <c r="D119" s="127"/>
      <c r="E119" s="127"/>
      <c r="F119" s="127"/>
      <c r="G119" s="127"/>
      <c r="H119" s="127"/>
      <c r="I119" s="127"/>
      <c r="J119" s="127"/>
      <c r="K119" s="373"/>
      <c r="R119" s="80" t="s">
        <v>14</v>
      </c>
      <c r="S119" s="118"/>
      <c r="T119" s="118"/>
      <c r="U119" s="118"/>
      <c r="V119" s="118"/>
      <c r="W119" s="118"/>
      <c r="X119" s="118"/>
      <c r="Y119" s="118"/>
      <c r="Z119" s="118"/>
      <c r="AA119" s="118"/>
      <c r="AB119" s="118"/>
    </row>
    <row r="120" ht="15.75" customHeight="1">
      <c r="A120" s="367" t="s">
        <v>187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70"/>
      <c r="R120" s="80" t="s">
        <v>15</v>
      </c>
      <c r="S120" s="118"/>
      <c r="T120" s="118"/>
      <c r="U120" s="118"/>
      <c r="V120" s="118"/>
      <c r="W120" s="118"/>
      <c r="X120" s="118"/>
      <c r="Y120" s="118"/>
      <c r="Z120" s="118"/>
      <c r="AA120" s="118"/>
      <c r="AB120" s="118"/>
    </row>
    <row r="121" ht="15.75" customHeight="1">
      <c r="A121" s="284"/>
      <c r="B121" s="114" t="s">
        <v>2</v>
      </c>
      <c r="C121" s="54"/>
      <c r="D121" s="54"/>
      <c r="E121" s="54"/>
      <c r="F121" s="54"/>
      <c r="G121" s="54"/>
      <c r="H121" s="54"/>
      <c r="I121" s="54"/>
      <c r="J121" s="70"/>
      <c r="K121" s="157"/>
      <c r="AB121" s="380">
        <f>SUM(AB118:AB120)</f>
        <v>0</v>
      </c>
    </row>
    <row r="122" ht="15.75" customHeight="1">
      <c r="A122" s="284" t="s">
        <v>93</v>
      </c>
      <c r="B122" s="118">
        <v>28.0</v>
      </c>
      <c r="C122" s="118">
        <v>30.0</v>
      </c>
      <c r="D122" s="118">
        <v>32.0</v>
      </c>
      <c r="E122" s="118">
        <v>34.0</v>
      </c>
      <c r="F122" s="118">
        <v>36.0</v>
      </c>
      <c r="G122" s="118">
        <v>38.0</v>
      </c>
      <c r="H122" s="118">
        <v>40.0</v>
      </c>
      <c r="I122" s="118"/>
      <c r="J122" s="118"/>
      <c r="K122" s="157"/>
    </row>
    <row r="123" ht="15.75" customHeight="1">
      <c r="A123" s="284"/>
      <c r="B123" s="131" t="s">
        <v>5</v>
      </c>
      <c r="C123" s="131" t="s">
        <v>49</v>
      </c>
      <c r="D123" s="131" t="s">
        <v>50</v>
      </c>
      <c r="E123" s="131" t="s">
        <v>51</v>
      </c>
      <c r="F123" s="131" t="s">
        <v>52</v>
      </c>
      <c r="G123" s="131" t="s">
        <v>10</v>
      </c>
      <c r="H123" s="131" t="s">
        <v>11</v>
      </c>
      <c r="I123" s="131" t="s">
        <v>12</v>
      </c>
      <c r="J123" s="131" t="s">
        <v>13</v>
      </c>
      <c r="K123" s="314" t="s">
        <v>53</v>
      </c>
      <c r="R123" s="377" t="s">
        <v>188</v>
      </c>
      <c r="S123" s="54"/>
      <c r="T123" s="54"/>
      <c r="U123" s="54"/>
      <c r="V123" s="54"/>
      <c r="W123" s="54"/>
      <c r="X123" s="54"/>
      <c r="Y123" s="54"/>
      <c r="Z123" s="54"/>
      <c r="AA123" s="54"/>
      <c r="AB123" s="70"/>
    </row>
    <row r="124" ht="15.75" customHeight="1">
      <c r="A124" s="80" t="s">
        <v>74</v>
      </c>
      <c r="B124" s="118"/>
      <c r="C124" s="118"/>
      <c r="D124" s="118"/>
      <c r="E124" s="118"/>
      <c r="F124" s="118"/>
      <c r="G124" s="118"/>
      <c r="H124" s="118"/>
      <c r="I124" s="118"/>
      <c r="J124" s="118"/>
      <c r="K124" s="157"/>
      <c r="R124" s="284" t="s">
        <v>144</v>
      </c>
      <c r="S124" s="131" t="s">
        <v>5</v>
      </c>
      <c r="T124" s="131" t="s">
        <v>49</v>
      </c>
      <c r="U124" s="131" t="s">
        <v>50</v>
      </c>
      <c r="V124" s="131" t="s">
        <v>51</v>
      </c>
      <c r="W124" s="131" t="s">
        <v>52</v>
      </c>
      <c r="X124" s="131" t="s">
        <v>10</v>
      </c>
      <c r="Y124" s="131" t="s">
        <v>11</v>
      </c>
      <c r="Z124" s="131" t="s">
        <v>12</v>
      </c>
      <c r="AA124" s="342" t="s">
        <v>13</v>
      </c>
      <c r="AB124" s="117" t="s">
        <v>53</v>
      </c>
    </row>
    <row r="125" ht="15.75" customHeight="1">
      <c r="A125" s="154" t="s">
        <v>99</v>
      </c>
      <c r="B125" s="118"/>
      <c r="C125" s="118"/>
      <c r="D125" s="118"/>
      <c r="E125" s="118"/>
      <c r="F125" s="118"/>
      <c r="G125" s="118"/>
      <c r="H125" s="118"/>
      <c r="I125" s="118"/>
      <c r="J125" s="118"/>
      <c r="K125" s="157"/>
      <c r="R125" s="80" t="s">
        <v>14</v>
      </c>
      <c r="S125" s="118"/>
      <c r="T125" s="118"/>
      <c r="U125" s="118"/>
      <c r="V125" s="118"/>
      <c r="W125" s="118"/>
      <c r="X125" s="118"/>
      <c r="Y125" s="118"/>
      <c r="Z125" s="118"/>
      <c r="AA125" s="118"/>
      <c r="AB125" s="329"/>
    </row>
    <row r="126" ht="15.75" customHeight="1">
      <c r="A126" s="80" t="s">
        <v>100</v>
      </c>
      <c r="B126" s="118"/>
      <c r="C126" s="118"/>
      <c r="D126" s="118"/>
      <c r="E126" s="118"/>
      <c r="F126" s="118"/>
      <c r="G126" s="118"/>
      <c r="H126" s="118"/>
      <c r="I126" s="118"/>
      <c r="J126" s="118"/>
      <c r="K126" s="157"/>
      <c r="R126" s="80" t="s">
        <v>147</v>
      </c>
      <c r="S126" s="118"/>
      <c r="T126" s="118"/>
      <c r="U126" s="118"/>
      <c r="V126" s="118"/>
      <c r="W126" s="118"/>
      <c r="X126" s="118"/>
      <c r="Y126" s="118"/>
      <c r="Z126" s="118"/>
      <c r="AA126" s="118"/>
      <c r="AB126" s="329"/>
    </row>
    <row r="127" ht="15.75" customHeight="1">
      <c r="A127" s="154" t="s">
        <v>43</v>
      </c>
      <c r="B127" s="118">
        <f>1-1</f>
        <v>0</v>
      </c>
      <c r="C127" s="118"/>
      <c r="D127" s="118"/>
      <c r="E127" s="118"/>
      <c r="F127" s="118"/>
      <c r="G127" s="118"/>
      <c r="H127" s="118"/>
      <c r="I127" s="118"/>
      <c r="J127" s="118"/>
      <c r="K127" s="157"/>
      <c r="R127" s="80" t="s">
        <v>148</v>
      </c>
      <c r="S127" s="118"/>
      <c r="T127" s="118"/>
      <c r="U127" s="118"/>
      <c r="V127" s="118"/>
      <c r="W127" s="118"/>
      <c r="X127" s="118"/>
      <c r="Y127" s="118"/>
      <c r="Z127" s="118"/>
      <c r="AA127" s="118"/>
      <c r="AB127" s="329"/>
    </row>
    <row r="128" ht="15.75" customHeight="1">
      <c r="A128" s="8"/>
      <c r="B128" s="127"/>
      <c r="C128" s="374"/>
      <c r="D128" s="127"/>
      <c r="E128" s="127"/>
      <c r="F128" s="127"/>
      <c r="G128" s="127"/>
      <c r="H128" s="127"/>
      <c r="I128" s="127"/>
      <c r="J128" s="127"/>
      <c r="K128" s="338">
        <f>SUM(K124:K127)</f>
        <v>0</v>
      </c>
      <c r="R128" s="80" t="s">
        <v>15</v>
      </c>
      <c r="S128" s="118"/>
      <c r="T128" s="329"/>
      <c r="U128" s="118">
        <f>1</f>
        <v>1</v>
      </c>
      <c r="V128" s="118"/>
      <c r="W128" s="118"/>
      <c r="X128" s="118"/>
      <c r="Y128" s="118"/>
      <c r="Z128" s="118"/>
      <c r="AA128" s="118"/>
      <c r="AB128" s="329"/>
    </row>
    <row r="129" ht="15.75" customHeight="1">
      <c r="A129" s="367" t="s">
        <v>189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70"/>
      <c r="R129" s="80" t="s">
        <v>74</v>
      </c>
      <c r="S129" s="118"/>
      <c r="T129" s="118"/>
      <c r="U129" s="118">
        <f>1-1</f>
        <v>0</v>
      </c>
      <c r="V129" s="118"/>
      <c r="W129" s="118"/>
      <c r="X129" s="118"/>
      <c r="Y129" s="118"/>
      <c r="Z129" s="118"/>
      <c r="AA129" s="118"/>
      <c r="AB129" s="329"/>
    </row>
    <row r="130" ht="15.75" customHeight="1">
      <c r="A130" s="284"/>
      <c r="B130" s="114" t="s">
        <v>3</v>
      </c>
      <c r="C130" s="54"/>
      <c r="D130" s="54"/>
      <c r="E130" s="54"/>
      <c r="F130" s="54"/>
      <c r="G130" s="54"/>
      <c r="H130" s="54"/>
      <c r="I130" s="54"/>
      <c r="J130" s="101"/>
      <c r="K130" s="118"/>
      <c r="R130" s="304" t="s">
        <v>18</v>
      </c>
      <c r="S130" s="118"/>
      <c r="T130" s="118"/>
      <c r="U130" s="118"/>
      <c r="V130" s="118"/>
      <c r="W130" s="118"/>
      <c r="X130" s="118"/>
      <c r="Y130" s="118"/>
      <c r="Z130" s="118"/>
      <c r="AA130" s="118"/>
      <c r="AB130" s="329"/>
    </row>
    <row r="131" ht="15.75" customHeight="1">
      <c r="A131" s="284" t="s">
        <v>93</v>
      </c>
      <c r="B131" s="118">
        <v>28.0</v>
      </c>
      <c r="C131" s="118">
        <v>30.0</v>
      </c>
      <c r="D131" s="118">
        <v>32.0</v>
      </c>
      <c r="E131" s="118">
        <v>34.0</v>
      </c>
      <c r="F131" s="118">
        <v>36.0</v>
      </c>
      <c r="G131" s="118">
        <v>38.0</v>
      </c>
      <c r="H131" s="118">
        <v>40.0</v>
      </c>
      <c r="I131" s="118"/>
      <c r="J131" s="341"/>
      <c r="K131" s="157"/>
      <c r="AB131" s="381">
        <f>SUM(AB125:AB130)</f>
        <v>0</v>
      </c>
    </row>
    <row r="132" ht="15.75" customHeight="1">
      <c r="A132" s="284"/>
      <c r="B132" s="131" t="s">
        <v>5</v>
      </c>
      <c r="C132" s="131" t="s">
        <v>49</v>
      </c>
      <c r="D132" s="131" t="s">
        <v>50</v>
      </c>
      <c r="E132" s="131" t="s">
        <v>51</v>
      </c>
      <c r="F132" s="131" t="s">
        <v>52</v>
      </c>
      <c r="G132" s="131" t="s">
        <v>10</v>
      </c>
      <c r="H132" s="131" t="s">
        <v>11</v>
      </c>
      <c r="I132" s="131" t="s">
        <v>12</v>
      </c>
      <c r="J132" s="342" t="s">
        <v>13</v>
      </c>
      <c r="K132" s="314" t="s">
        <v>53</v>
      </c>
    </row>
    <row r="133" ht="15.75" customHeight="1">
      <c r="A133" s="80" t="s">
        <v>74</v>
      </c>
      <c r="B133" s="118"/>
      <c r="C133" s="119"/>
      <c r="D133" s="118">
        <f>1-1</f>
        <v>0</v>
      </c>
      <c r="E133" s="119"/>
      <c r="F133" s="118"/>
      <c r="G133" s="118"/>
      <c r="H133" s="118"/>
      <c r="I133" s="118"/>
      <c r="J133" s="118"/>
      <c r="K133" s="157"/>
      <c r="R133" s="377" t="s">
        <v>190</v>
      </c>
      <c r="S133" s="54"/>
      <c r="T133" s="54"/>
      <c r="U133" s="54"/>
      <c r="V133" s="54"/>
      <c r="W133" s="54"/>
      <c r="X133" s="54"/>
      <c r="Y133" s="54"/>
      <c r="Z133" s="54"/>
      <c r="AA133" s="54"/>
      <c r="AB133" s="70"/>
    </row>
    <row r="134" ht="15.75" customHeight="1">
      <c r="A134" s="154" t="s">
        <v>99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57"/>
      <c r="R134" s="284" t="s">
        <v>144</v>
      </c>
      <c r="S134" s="131" t="s">
        <v>5</v>
      </c>
      <c r="T134" s="131" t="s">
        <v>49</v>
      </c>
      <c r="U134" s="131" t="s">
        <v>50</v>
      </c>
      <c r="V134" s="131" t="s">
        <v>51</v>
      </c>
      <c r="W134" s="131" t="s">
        <v>52</v>
      </c>
      <c r="X134" s="131" t="s">
        <v>10</v>
      </c>
      <c r="Y134" s="131" t="s">
        <v>11</v>
      </c>
      <c r="Z134" s="131" t="s">
        <v>12</v>
      </c>
      <c r="AA134" s="342" t="s">
        <v>13</v>
      </c>
      <c r="AB134" s="117" t="s">
        <v>53</v>
      </c>
    </row>
    <row r="135" ht="15.75" customHeight="1">
      <c r="A135" s="80" t="s">
        <v>100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57"/>
      <c r="R135" s="80" t="s">
        <v>14</v>
      </c>
      <c r="S135" s="118"/>
      <c r="T135" s="118"/>
      <c r="U135" s="118"/>
      <c r="V135" s="118"/>
      <c r="W135" s="118"/>
      <c r="X135" s="118"/>
      <c r="Y135" s="118"/>
      <c r="Z135" s="118"/>
      <c r="AA135" s="118"/>
      <c r="AB135" s="118"/>
    </row>
    <row r="136" ht="15.75" customHeight="1">
      <c r="A136" s="154" t="s">
        <v>43</v>
      </c>
      <c r="B136" s="118"/>
      <c r="C136" s="118"/>
      <c r="D136" s="118"/>
      <c r="E136" s="118"/>
      <c r="F136" s="118"/>
      <c r="G136" s="118"/>
      <c r="H136" s="118"/>
      <c r="I136" s="118"/>
      <c r="J136" s="118"/>
      <c r="K136" s="157"/>
      <c r="R136" s="80" t="s">
        <v>147</v>
      </c>
      <c r="S136" s="118">
        <f>1</f>
        <v>1</v>
      </c>
      <c r="T136" s="118"/>
      <c r="U136" s="118"/>
      <c r="V136" s="118"/>
      <c r="W136" s="118"/>
      <c r="X136" s="118"/>
      <c r="Y136" s="118"/>
      <c r="Z136" s="118"/>
      <c r="AA136" s="118"/>
      <c r="AB136" s="118"/>
    </row>
    <row r="137" ht="15.75" customHeight="1">
      <c r="A137" s="176"/>
      <c r="B137" s="373"/>
      <c r="C137" s="373"/>
      <c r="D137" s="373"/>
      <c r="E137" s="373"/>
      <c r="F137" s="373"/>
      <c r="G137" s="373"/>
      <c r="H137" s="373"/>
      <c r="I137" s="373"/>
      <c r="J137" s="373"/>
      <c r="K137" s="329">
        <f>SUM(K133:K136)</f>
        <v>0</v>
      </c>
      <c r="R137" s="80" t="s">
        <v>148</v>
      </c>
      <c r="S137" s="118"/>
      <c r="T137" s="118"/>
      <c r="U137" s="118"/>
      <c r="V137" s="118"/>
      <c r="W137" s="118"/>
      <c r="X137" s="118"/>
      <c r="Y137" s="118"/>
      <c r="Z137" s="118"/>
      <c r="AA137" s="118"/>
      <c r="AB137" s="118"/>
    </row>
    <row r="138" ht="15.75" customHeight="1">
      <c r="R138" s="80" t="s">
        <v>15</v>
      </c>
      <c r="S138" s="118"/>
      <c r="T138" s="118"/>
      <c r="U138" s="118"/>
      <c r="V138" s="118"/>
      <c r="W138" s="118"/>
      <c r="X138" s="118"/>
      <c r="Y138" s="118"/>
      <c r="Z138" s="118"/>
      <c r="AA138" s="118"/>
      <c r="AB138" s="118"/>
    </row>
    <row r="139" ht="15.75" customHeight="1">
      <c r="R139" s="80" t="s">
        <v>74</v>
      </c>
      <c r="S139" s="118"/>
      <c r="T139" s="118"/>
      <c r="U139" s="118"/>
      <c r="V139" s="118"/>
      <c r="W139" s="118"/>
      <c r="X139" s="118"/>
      <c r="Y139" s="118"/>
      <c r="Z139" s="118"/>
      <c r="AA139" s="118"/>
      <c r="AB139" s="118"/>
    </row>
    <row r="140" ht="15.75" customHeight="1">
      <c r="A140" s="354" t="s">
        <v>46</v>
      </c>
      <c r="B140" s="112"/>
      <c r="C140" s="112"/>
      <c r="D140" s="112"/>
      <c r="E140" s="112"/>
      <c r="F140" s="112"/>
      <c r="G140" s="112"/>
      <c r="H140" s="112"/>
      <c r="I140" s="112"/>
      <c r="J140" s="112"/>
      <c r="K140" s="112"/>
      <c r="L140" s="160"/>
      <c r="R140" s="304" t="s">
        <v>18</v>
      </c>
      <c r="S140" s="118"/>
      <c r="T140" s="118"/>
      <c r="U140" s="118"/>
      <c r="V140" s="118"/>
      <c r="W140" s="118"/>
      <c r="X140" s="118"/>
      <c r="Y140" s="118"/>
      <c r="Z140" s="118"/>
      <c r="AA140" s="118"/>
      <c r="AB140" s="118"/>
    </row>
    <row r="141" ht="15.75" customHeight="1">
      <c r="A141" s="79" t="s">
        <v>191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101"/>
      <c r="L141" s="382" t="s">
        <v>53</v>
      </c>
      <c r="AB141" s="381">
        <f>SUM(AB135:AB140)</f>
        <v>0</v>
      </c>
    </row>
    <row r="142" ht="15.75" customHeight="1">
      <c r="A142" s="80"/>
      <c r="B142" s="114" t="s">
        <v>2</v>
      </c>
      <c r="C142" s="54"/>
      <c r="D142" s="54"/>
      <c r="E142" s="54"/>
      <c r="F142" s="54"/>
      <c r="G142" s="54"/>
      <c r="H142" s="54"/>
      <c r="I142" s="54"/>
      <c r="J142" s="70"/>
      <c r="K142" s="342"/>
      <c r="L142" s="383"/>
      <c r="AA142" s="384" t="s">
        <v>0</v>
      </c>
    </row>
    <row r="143" ht="15.75" customHeight="1">
      <c r="A143" s="80" t="s">
        <v>93</v>
      </c>
      <c r="B143" s="118">
        <v>28.0</v>
      </c>
      <c r="C143" s="118">
        <v>30.0</v>
      </c>
      <c r="D143" s="118">
        <v>32.0</v>
      </c>
      <c r="E143" s="118">
        <v>34.0</v>
      </c>
      <c r="F143" s="118">
        <v>36.0</v>
      </c>
      <c r="G143" s="118">
        <v>38.0</v>
      </c>
      <c r="H143" s="118">
        <v>40.0</v>
      </c>
      <c r="I143" s="118"/>
      <c r="J143" s="118"/>
      <c r="K143" s="341"/>
      <c r="L143" s="383"/>
      <c r="R143" s="377" t="s">
        <v>150</v>
      </c>
      <c r="S143" s="54"/>
      <c r="T143" s="54"/>
      <c r="U143" s="54"/>
      <c r="V143" s="54"/>
      <c r="W143" s="54"/>
      <c r="X143" s="54"/>
      <c r="Y143" s="54"/>
      <c r="Z143" s="54"/>
      <c r="AA143" s="54"/>
      <c r="AB143" s="70"/>
    </row>
    <row r="144" ht="15.75" customHeight="1">
      <c r="A144" s="82"/>
      <c r="B144" s="360" t="s">
        <v>5</v>
      </c>
      <c r="C144" s="360" t="s">
        <v>49</v>
      </c>
      <c r="D144" s="360" t="s">
        <v>50</v>
      </c>
      <c r="E144" s="360" t="s">
        <v>51</v>
      </c>
      <c r="F144" s="360" t="s">
        <v>52</v>
      </c>
      <c r="G144" s="360" t="s">
        <v>10</v>
      </c>
      <c r="H144" s="360" t="s">
        <v>11</v>
      </c>
      <c r="I144" s="360" t="s">
        <v>12</v>
      </c>
      <c r="J144" s="360" t="s">
        <v>13</v>
      </c>
      <c r="K144" s="385" t="s">
        <v>53</v>
      </c>
      <c r="L144" s="383"/>
      <c r="R144" s="131" t="s">
        <v>144</v>
      </c>
      <c r="S144" s="131" t="s">
        <v>5</v>
      </c>
      <c r="T144" s="131" t="s">
        <v>49</v>
      </c>
      <c r="U144" s="131" t="s">
        <v>50</v>
      </c>
      <c r="V144" s="131" t="s">
        <v>51</v>
      </c>
      <c r="W144" s="131" t="s">
        <v>52</v>
      </c>
      <c r="X144" s="131" t="s">
        <v>10</v>
      </c>
      <c r="Y144" s="131" t="s">
        <v>11</v>
      </c>
      <c r="Z144" s="131" t="s">
        <v>12</v>
      </c>
      <c r="AA144" s="342" t="s">
        <v>13</v>
      </c>
      <c r="AB144" s="117" t="s">
        <v>53</v>
      </c>
    </row>
    <row r="145" ht="15.75" customHeight="1">
      <c r="A145" s="80" t="s">
        <v>54</v>
      </c>
      <c r="B145" s="118"/>
      <c r="C145" s="119"/>
      <c r="D145" s="118"/>
      <c r="E145" s="118"/>
      <c r="F145" s="118"/>
      <c r="G145" s="118"/>
      <c r="H145" s="118"/>
      <c r="I145" s="118"/>
      <c r="J145" s="118"/>
      <c r="K145" s="386"/>
      <c r="L145" s="383"/>
      <c r="R145" s="80" t="s">
        <v>14</v>
      </c>
      <c r="S145" s="118"/>
      <c r="T145" s="118"/>
      <c r="U145" s="118"/>
      <c r="V145" s="118"/>
      <c r="W145" s="118"/>
      <c r="X145" s="118"/>
      <c r="Y145" s="118">
        <f>1</f>
        <v>1</v>
      </c>
      <c r="Z145" s="118"/>
      <c r="AA145" s="118"/>
      <c r="AB145" s="329"/>
    </row>
    <row r="146" ht="15.75" customHeight="1">
      <c r="A146" s="80" t="s">
        <v>55</v>
      </c>
      <c r="B146" s="118"/>
      <c r="C146" s="118"/>
      <c r="D146" s="118">
        <f>1</f>
        <v>1</v>
      </c>
      <c r="E146" s="118"/>
      <c r="F146" s="118"/>
      <c r="G146" s="119"/>
      <c r="H146" s="118"/>
      <c r="I146" s="118"/>
      <c r="J146" s="119"/>
      <c r="K146" s="386"/>
      <c r="L146" s="383"/>
      <c r="R146" s="80" t="s">
        <v>147</v>
      </c>
      <c r="S146" s="118"/>
      <c r="T146" s="118"/>
      <c r="U146" s="118"/>
      <c r="V146" s="118"/>
      <c r="W146" s="118"/>
      <c r="X146" s="118">
        <f>1</f>
        <v>1</v>
      </c>
      <c r="Y146" s="118"/>
      <c r="Z146" s="118"/>
      <c r="AA146" s="118"/>
      <c r="AB146" s="329"/>
    </row>
    <row r="147" ht="15.75" customHeight="1">
      <c r="L147" s="383"/>
      <c r="R147" s="80" t="s">
        <v>148</v>
      </c>
      <c r="S147" s="118"/>
      <c r="T147" s="118"/>
      <c r="U147" s="118"/>
      <c r="V147" s="118"/>
      <c r="W147" s="118"/>
      <c r="X147" s="118"/>
      <c r="Y147" s="118"/>
      <c r="Z147" s="118"/>
      <c r="AA147" s="118"/>
      <c r="AB147" s="329"/>
    </row>
    <row r="148" ht="15.75" customHeight="1">
      <c r="A148" s="79" t="s">
        <v>191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101"/>
      <c r="L148" s="383"/>
      <c r="R148" s="80" t="s">
        <v>15</v>
      </c>
      <c r="S148" s="118"/>
      <c r="T148" s="118"/>
      <c r="U148" s="118"/>
      <c r="V148" s="118"/>
      <c r="W148" s="118"/>
      <c r="X148" s="118"/>
      <c r="Y148" s="118"/>
      <c r="Z148" s="118"/>
      <c r="AA148" s="118"/>
      <c r="AB148" s="118"/>
    </row>
    <row r="149" ht="15.75" customHeight="1">
      <c r="A149" s="130"/>
      <c r="B149" s="114" t="s">
        <v>3</v>
      </c>
      <c r="C149" s="54"/>
      <c r="D149" s="54"/>
      <c r="E149" s="54"/>
      <c r="F149" s="54"/>
      <c r="G149" s="54"/>
      <c r="H149" s="54"/>
      <c r="I149" s="54"/>
      <c r="J149" s="70"/>
      <c r="K149" s="342"/>
      <c r="L149" s="383"/>
      <c r="R149" s="80" t="s">
        <v>74</v>
      </c>
      <c r="S149" s="118"/>
      <c r="T149" s="118"/>
      <c r="U149" s="118"/>
      <c r="V149" s="118"/>
      <c r="W149" s="118"/>
      <c r="X149" s="118"/>
      <c r="Y149" s="118"/>
      <c r="Z149" s="118"/>
      <c r="AA149" s="118"/>
      <c r="AB149" s="329"/>
    </row>
    <row r="150" ht="15.75" customHeight="1">
      <c r="A150" s="80" t="s">
        <v>93</v>
      </c>
      <c r="B150" s="118">
        <v>28.0</v>
      </c>
      <c r="C150" s="118">
        <v>30.0</v>
      </c>
      <c r="D150" s="118">
        <v>32.0</v>
      </c>
      <c r="E150" s="118">
        <v>34.0</v>
      </c>
      <c r="F150" s="118">
        <v>36.0</v>
      </c>
      <c r="G150" s="118">
        <v>38.0</v>
      </c>
      <c r="H150" s="118">
        <v>40.0</v>
      </c>
      <c r="I150" s="118"/>
      <c r="J150" s="118"/>
      <c r="K150" s="341"/>
      <c r="L150" s="383"/>
      <c r="R150" s="304" t="s">
        <v>18</v>
      </c>
      <c r="S150" s="118"/>
      <c r="T150" s="118"/>
      <c r="U150" s="118"/>
      <c r="V150" s="118"/>
      <c r="W150" s="118"/>
      <c r="X150" s="118"/>
      <c r="Y150" s="118"/>
      <c r="Z150" s="118"/>
      <c r="AA150" s="118"/>
      <c r="AB150" s="329"/>
    </row>
    <row r="151" ht="15.75" customHeight="1">
      <c r="A151" s="80"/>
      <c r="B151" s="131" t="s">
        <v>5</v>
      </c>
      <c r="C151" s="131" t="s">
        <v>49</v>
      </c>
      <c r="D151" s="131" t="s">
        <v>50</v>
      </c>
      <c r="E151" s="131" t="s">
        <v>51</v>
      </c>
      <c r="F151" s="131" t="s">
        <v>52</v>
      </c>
      <c r="G151" s="131" t="s">
        <v>10</v>
      </c>
      <c r="H151" s="131" t="s">
        <v>11</v>
      </c>
      <c r="I151" s="131" t="s">
        <v>12</v>
      </c>
      <c r="J151" s="131" t="s">
        <v>13</v>
      </c>
      <c r="K151" s="141" t="s">
        <v>53</v>
      </c>
      <c r="L151" s="383"/>
      <c r="AB151" s="381"/>
    </row>
    <row r="152" ht="15.75" customHeight="1">
      <c r="A152" s="80" t="s">
        <v>54</v>
      </c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35"/>
    </row>
    <row r="153" ht="15.75" customHeight="1">
      <c r="A153" s="80" t="s">
        <v>55</v>
      </c>
      <c r="B153" s="118"/>
      <c r="C153" s="118">
        <f>1</f>
        <v>1</v>
      </c>
      <c r="D153" s="118"/>
      <c r="E153" s="118"/>
      <c r="F153" s="118"/>
      <c r="G153" s="118"/>
      <c r="H153" s="118"/>
      <c r="I153" s="118"/>
      <c r="J153" s="118"/>
      <c r="K153" s="118"/>
      <c r="L153" s="371">
        <f>SUM(K145:K146,K152:K153)</f>
        <v>0</v>
      </c>
    </row>
    <row r="154" ht="15.75" customHeight="1">
      <c r="C154" s="384">
        <v>1.0</v>
      </c>
    </row>
    <row r="155" ht="15.75" customHeight="1">
      <c r="A155" s="79" t="s">
        <v>192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101"/>
      <c r="L155" s="382" t="s">
        <v>53</v>
      </c>
    </row>
    <row r="156" ht="15.75" customHeight="1">
      <c r="A156" s="80"/>
      <c r="B156" s="114" t="s">
        <v>2</v>
      </c>
      <c r="C156" s="54"/>
      <c r="D156" s="54"/>
      <c r="E156" s="54"/>
      <c r="F156" s="54"/>
      <c r="G156" s="54"/>
      <c r="H156" s="54"/>
      <c r="I156" s="54"/>
      <c r="J156" s="70"/>
      <c r="K156" s="342"/>
      <c r="L156" s="383"/>
      <c r="R156" s="79" t="s">
        <v>193</v>
      </c>
      <c r="S156" s="54"/>
      <c r="T156" s="54"/>
      <c r="U156" s="54"/>
      <c r="V156" s="54"/>
      <c r="W156" s="54"/>
      <c r="X156" s="54"/>
      <c r="Y156" s="54"/>
      <c r="Z156" s="54"/>
      <c r="AA156" s="54"/>
      <c r="AB156" s="101"/>
    </row>
    <row r="157" ht="15.75" customHeight="1">
      <c r="A157" s="80" t="s">
        <v>93</v>
      </c>
      <c r="B157" s="118">
        <v>28.0</v>
      </c>
      <c r="C157" s="118">
        <v>30.0</v>
      </c>
      <c r="D157" s="118">
        <v>32.0</v>
      </c>
      <c r="E157" s="118">
        <v>34.0</v>
      </c>
      <c r="F157" s="118">
        <v>36.0</v>
      </c>
      <c r="G157" s="118">
        <v>38.0</v>
      </c>
      <c r="H157" s="118">
        <v>40.0</v>
      </c>
      <c r="I157" s="118"/>
      <c r="J157" s="118"/>
      <c r="K157" s="341"/>
      <c r="L157" s="383"/>
      <c r="R157" s="130"/>
      <c r="S157" s="114" t="s">
        <v>42</v>
      </c>
      <c r="T157" s="54"/>
      <c r="U157" s="54"/>
      <c r="V157" s="54"/>
      <c r="W157" s="54"/>
      <c r="X157" s="54"/>
      <c r="Y157" s="54"/>
      <c r="Z157" s="54"/>
      <c r="AA157" s="70"/>
      <c r="AB157" s="387"/>
    </row>
    <row r="158" ht="15.75" customHeight="1">
      <c r="A158" s="80"/>
      <c r="B158" s="131" t="s">
        <v>5</v>
      </c>
      <c r="C158" s="131" t="s">
        <v>49</v>
      </c>
      <c r="D158" s="131" t="s">
        <v>50</v>
      </c>
      <c r="E158" s="131" t="s">
        <v>51</v>
      </c>
      <c r="F158" s="131" t="s">
        <v>52</v>
      </c>
      <c r="G158" s="131" t="s">
        <v>10</v>
      </c>
      <c r="H158" s="131" t="s">
        <v>11</v>
      </c>
      <c r="I158" s="131" t="s">
        <v>12</v>
      </c>
      <c r="J158" s="131" t="s">
        <v>13</v>
      </c>
      <c r="K158" s="141" t="s">
        <v>53</v>
      </c>
      <c r="L158" s="383"/>
      <c r="R158" s="80" t="s">
        <v>93</v>
      </c>
      <c r="S158" s="118">
        <v>28.0</v>
      </c>
      <c r="T158" s="118">
        <v>30.0</v>
      </c>
      <c r="U158" s="118">
        <v>32.0</v>
      </c>
      <c r="V158" s="118">
        <v>34.0</v>
      </c>
      <c r="W158" s="118">
        <v>36.0</v>
      </c>
      <c r="X158" s="118">
        <v>38.0</v>
      </c>
      <c r="Y158" s="118">
        <v>40.0</v>
      </c>
      <c r="Z158" s="118"/>
      <c r="AA158" s="118"/>
      <c r="AB158" s="387"/>
    </row>
    <row r="159" ht="15.75" customHeight="1">
      <c r="A159" s="80" t="s">
        <v>54</v>
      </c>
      <c r="B159" s="118"/>
      <c r="C159" s="118">
        <f>1</f>
        <v>1</v>
      </c>
      <c r="D159" s="118"/>
      <c r="E159" s="118"/>
      <c r="F159" s="118"/>
      <c r="G159" s="118"/>
      <c r="H159" s="118"/>
      <c r="I159" s="118"/>
      <c r="J159" s="118"/>
      <c r="K159" s="341"/>
      <c r="L159" s="383"/>
      <c r="R159" s="80"/>
      <c r="S159" s="131" t="s">
        <v>5</v>
      </c>
      <c r="T159" s="131" t="s">
        <v>49</v>
      </c>
      <c r="U159" s="131" t="s">
        <v>50</v>
      </c>
      <c r="V159" s="131" t="s">
        <v>51</v>
      </c>
      <c r="W159" s="131" t="s">
        <v>52</v>
      </c>
      <c r="X159" s="131" t="s">
        <v>10</v>
      </c>
      <c r="Y159" s="131" t="s">
        <v>11</v>
      </c>
      <c r="Z159" s="131" t="s">
        <v>12</v>
      </c>
      <c r="AA159" s="131" t="s">
        <v>13</v>
      </c>
      <c r="AB159" s="141" t="s">
        <v>53</v>
      </c>
    </row>
    <row r="160" ht="15.75" customHeight="1">
      <c r="A160" s="80" t="s">
        <v>55</v>
      </c>
      <c r="B160" s="118"/>
      <c r="C160" s="118"/>
      <c r="D160" s="118"/>
      <c r="E160" s="118"/>
      <c r="F160" s="118"/>
      <c r="G160" s="118"/>
      <c r="H160" s="118"/>
      <c r="I160" s="118"/>
      <c r="J160" s="118"/>
      <c r="K160" s="341"/>
      <c r="L160" s="383"/>
      <c r="R160" s="80" t="s">
        <v>152</v>
      </c>
      <c r="S160" s="137"/>
      <c r="T160" s="137"/>
      <c r="U160" s="137"/>
      <c r="V160" s="137"/>
      <c r="W160" s="137">
        <f>1</f>
        <v>1</v>
      </c>
      <c r="X160" s="137"/>
      <c r="Y160" s="137"/>
      <c r="Z160" s="137"/>
      <c r="AA160" s="137"/>
      <c r="AB160" s="137">
        <f t="shared" ref="AB160:AB166" si="30">SUM(S160:AA160)</f>
        <v>1</v>
      </c>
    </row>
    <row r="161" ht="15.75" customHeight="1">
      <c r="A161" s="80" t="s">
        <v>57</v>
      </c>
      <c r="B161" s="118"/>
      <c r="C161" s="118"/>
      <c r="D161" s="118"/>
      <c r="E161" s="118"/>
      <c r="F161" s="118"/>
      <c r="G161" s="118"/>
      <c r="H161" s="118"/>
      <c r="I161" s="118"/>
      <c r="J161" s="118"/>
      <c r="K161" s="341"/>
      <c r="L161" s="383"/>
      <c r="R161" s="80" t="s">
        <v>153</v>
      </c>
      <c r="S161" s="137"/>
      <c r="T161" s="137"/>
      <c r="U161" s="137"/>
      <c r="V161" s="137"/>
      <c r="W161" s="137"/>
      <c r="X161" s="137"/>
      <c r="Y161" s="137"/>
      <c r="Z161" s="137"/>
      <c r="AA161" s="137"/>
      <c r="AB161" s="137">
        <f t="shared" si="30"/>
        <v>0</v>
      </c>
    </row>
    <row r="162" ht="15.75" customHeight="1">
      <c r="L162" s="383"/>
      <c r="R162" s="80" t="s">
        <v>154</v>
      </c>
      <c r="S162" s="137"/>
      <c r="T162" s="137"/>
      <c r="U162" s="137">
        <f>1</f>
        <v>1</v>
      </c>
      <c r="V162" s="137"/>
      <c r="W162" s="137"/>
      <c r="X162" s="137"/>
      <c r="Y162" s="137"/>
      <c r="Z162" s="137"/>
      <c r="AA162" s="137"/>
      <c r="AB162" s="137">
        <f t="shared" si="30"/>
        <v>1</v>
      </c>
    </row>
    <row r="163" ht="15.75" customHeight="1">
      <c r="A163" s="79" t="s">
        <v>192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101"/>
      <c r="L163" s="383"/>
      <c r="R163" s="80" t="s">
        <v>155</v>
      </c>
      <c r="S163" s="137"/>
      <c r="T163" s="137"/>
      <c r="U163" s="137"/>
      <c r="V163" s="137"/>
      <c r="W163" s="137"/>
      <c r="X163" s="137"/>
      <c r="Y163" s="137"/>
      <c r="Z163" s="137"/>
      <c r="AA163" s="137"/>
      <c r="AB163" s="137">
        <f t="shared" si="30"/>
        <v>0</v>
      </c>
    </row>
    <row r="164" ht="15.75" customHeight="1">
      <c r="A164" s="130"/>
      <c r="B164" s="114" t="s">
        <v>3</v>
      </c>
      <c r="C164" s="54"/>
      <c r="D164" s="54"/>
      <c r="E164" s="54"/>
      <c r="F164" s="54"/>
      <c r="G164" s="54"/>
      <c r="H164" s="54"/>
      <c r="I164" s="54"/>
      <c r="J164" s="70"/>
      <c r="K164" s="342"/>
      <c r="L164" s="383"/>
      <c r="R164" s="80" t="s">
        <v>156</v>
      </c>
      <c r="S164" s="137"/>
      <c r="T164" s="137"/>
      <c r="U164" s="137"/>
      <c r="V164" s="137">
        <f>1</f>
        <v>1</v>
      </c>
      <c r="W164" s="137"/>
      <c r="X164" s="137"/>
      <c r="Y164" s="137"/>
      <c r="Z164" s="137"/>
      <c r="AA164" s="137"/>
      <c r="AB164" s="137">
        <f t="shared" si="30"/>
        <v>1</v>
      </c>
    </row>
    <row r="165" ht="15.75" customHeight="1">
      <c r="A165" s="80" t="s">
        <v>93</v>
      </c>
      <c r="B165" s="118">
        <v>28.0</v>
      </c>
      <c r="C165" s="118">
        <v>30.0</v>
      </c>
      <c r="D165" s="118">
        <v>32.0</v>
      </c>
      <c r="E165" s="118">
        <v>34.0</v>
      </c>
      <c r="F165" s="118">
        <v>36.0</v>
      </c>
      <c r="G165" s="118">
        <v>38.0</v>
      </c>
      <c r="H165" s="118">
        <v>40.0</v>
      </c>
      <c r="I165" s="118"/>
      <c r="J165" s="118"/>
      <c r="K165" s="341"/>
      <c r="L165" s="383"/>
      <c r="R165" s="80" t="s">
        <v>157</v>
      </c>
      <c r="S165" s="137">
        <f>1</f>
        <v>1</v>
      </c>
      <c r="T165" s="137"/>
      <c r="U165" s="137"/>
      <c r="V165" s="137"/>
      <c r="W165" s="137"/>
      <c r="X165" s="137"/>
      <c r="Y165" s="137"/>
      <c r="Z165" s="137"/>
      <c r="AA165" s="137"/>
      <c r="AB165" s="137">
        <f t="shared" si="30"/>
        <v>1</v>
      </c>
    </row>
    <row r="166" ht="15.75" customHeight="1">
      <c r="A166" s="80"/>
      <c r="B166" s="131" t="s">
        <v>5</v>
      </c>
      <c r="C166" s="131" t="s">
        <v>49</v>
      </c>
      <c r="D166" s="131" t="s">
        <v>50</v>
      </c>
      <c r="E166" s="131" t="s">
        <v>51</v>
      </c>
      <c r="F166" s="131" t="s">
        <v>52</v>
      </c>
      <c r="G166" s="131" t="s">
        <v>10</v>
      </c>
      <c r="H166" s="131" t="s">
        <v>11</v>
      </c>
      <c r="I166" s="131" t="s">
        <v>12</v>
      </c>
      <c r="J166" s="131" t="s">
        <v>13</v>
      </c>
      <c r="K166" s="141" t="s">
        <v>53</v>
      </c>
      <c r="L166" s="383"/>
      <c r="R166" s="304" t="s">
        <v>158</v>
      </c>
      <c r="S166" s="137"/>
      <c r="T166" s="137"/>
      <c r="U166" s="137"/>
      <c r="V166" s="137"/>
      <c r="W166" s="137"/>
      <c r="X166" s="137"/>
      <c r="Y166" s="137"/>
      <c r="Z166" s="137"/>
      <c r="AA166" s="137"/>
      <c r="AB166" s="137">
        <f t="shared" si="30"/>
        <v>0</v>
      </c>
    </row>
    <row r="167" ht="15.75" customHeight="1">
      <c r="A167" s="80" t="s">
        <v>54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383"/>
      <c r="AB167" s="381">
        <f>SUM(AB160:AB165)</f>
        <v>4</v>
      </c>
    </row>
    <row r="168" ht="15.75" customHeight="1">
      <c r="A168" s="80" t="s">
        <v>55</v>
      </c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35"/>
      <c r="R168" s="277" t="s">
        <v>132</v>
      </c>
      <c r="S168" s="54"/>
      <c r="T168" s="54"/>
      <c r="U168" s="54"/>
      <c r="V168" s="54"/>
      <c r="W168" s="54"/>
      <c r="X168" s="54"/>
      <c r="Y168" s="54"/>
      <c r="Z168" s="54"/>
      <c r="AA168" s="54"/>
      <c r="AB168" s="70"/>
    </row>
    <row r="169" ht="15.75" customHeight="1">
      <c r="A169" s="80" t="s">
        <v>18</v>
      </c>
      <c r="B169" s="329"/>
      <c r="C169" s="329"/>
      <c r="D169" s="329"/>
      <c r="E169" s="329"/>
      <c r="F169" s="118"/>
      <c r="G169" s="329"/>
      <c r="H169" s="329"/>
      <c r="I169" s="118"/>
      <c r="J169" s="118"/>
      <c r="K169" s="118"/>
      <c r="L169" s="371">
        <f>SUM(K169,K168,K167,K161,K160,K159)</f>
        <v>0</v>
      </c>
      <c r="R169" s="265" t="s">
        <v>129</v>
      </c>
      <c r="S169" s="278">
        <v>2.0</v>
      </c>
      <c r="T169" s="256">
        <v>4.0</v>
      </c>
      <c r="U169" s="256">
        <v>6.0</v>
      </c>
      <c r="V169" s="256">
        <v>8.0</v>
      </c>
      <c r="W169" s="256">
        <v>10.0</v>
      </c>
      <c r="X169" s="256">
        <v>12.0</v>
      </c>
      <c r="Y169" s="256">
        <v>14.0</v>
      </c>
      <c r="Z169" s="256">
        <v>16.0</v>
      </c>
      <c r="AA169" s="279">
        <v>18.0</v>
      </c>
      <c r="AB169" s="267" t="s">
        <v>53</v>
      </c>
    </row>
    <row r="170" ht="15.75" customHeight="1">
      <c r="H170" s="384">
        <v>1.0</v>
      </c>
      <c r="R170" s="135"/>
      <c r="S170" s="388">
        <f>2</f>
        <v>2</v>
      </c>
      <c r="T170" s="188" t="s">
        <v>0</v>
      </c>
      <c r="U170" s="188" t="s">
        <v>0</v>
      </c>
      <c r="V170" s="188">
        <f>1</f>
        <v>1</v>
      </c>
      <c r="W170" s="188" t="s">
        <v>0</v>
      </c>
      <c r="X170" s="188" t="s">
        <v>45</v>
      </c>
      <c r="Y170" s="188" t="s">
        <v>0</v>
      </c>
      <c r="Z170" s="188" t="s">
        <v>0</v>
      </c>
      <c r="AA170" s="389" t="s">
        <v>0</v>
      </c>
      <c r="AB170" s="269">
        <f>SUM(S170:AA170)</f>
        <v>3</v>
      </c>
    </row>
    <row r="171" ht="15.75" customHeight="1">
      <c r="A171" s="79" t="s">
        <v>194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101"/>
      <c r="L171" s="382" t="s">
        <v>53</v>
      </c>
    </row>
    <row r="172" ht="15.75" customHeight="1">
      <c r="A172" s="80"/>
      <c r="B172" s="114" t="s">
        <v>2</v>
      </c>
      <c r="C172" s="54"/>
      <c r="D172" s="54"/>
      <c r="E172" s="54"/>
      <c r="F172" s="54"/>
      <c r="G172" s="54"/>
      <c r="H172" s="54"/>
      <c r="I172" s="54"/>
      <c r="J172" s="70"/>
      <c r="K172" s="342"/>
      <c r="L172" s="383"/>
    </row>
    <row r="173" ht="15.75" customHeight="1">
      <c r="A173" s="80" t="s">
        <v>93</v>
      </c>
      <c r="B173" s="118">
        <v>28.0</v>
      </c>
      <c r="C173" s="118">
        <v>30.0</v>
      </c>
      <c r="D173" s="118">
        <v>32.0</v>
      </c>
      <c r="E173" s="118">
        <v>34.0</v>
      </c>
      <c r="F173" s="118">
        <v>36.0</v>
      </c>
      <c r="G173" s="118">
        <v>38.0</v>
      </c>
      <c r="H173" s="118">
        <v>40.0</v>
      </c>
      <c r="I173" s="118"/>
      <c r="J173" s="118"/>
      <c r="K173" s="341"/>
      <c r="L173" s="383"/>
    </row>
    <row r="174" ht="15.75" customHeight="1">
      <c r="A174" s="80"/>
      <c r="B174" s="131" t="s">
        <v>5</v>
      </c>
      <c r="C174" s="131" t="s">
        <v>49</v>
      </c>
      <c r="D174" s="131" t="s">
        <v>50</v>
      </c>
      <c r="E174" s="131" t="s">
        <v>51</v>
      </c>
      <c r="F174" s="131" t="s">
        <v>52</v>
      </c>
      <c r="G174" s="131" t="s">
        <v>10</v>
      </c>
      <c r="H174" s="131" t="s">
        <v>11</v>
      </c>
      <c r="I174" s="131" t="s">
        <v>12</v>
      </c>
      <c r="J174" s="131" t="s">
        <v>13</v>
      </c>
      <c r="K174" s="141" t="s">
        <v>53</v>
      </c>
      <c r="L174" s="383"/>
    </row>
    <row r="175" ht="15.75" customHeight="1">
      <c r="A175" s="80" t="s">
        <v>54</v>
      </c>
      <c r="B175" s="118"/>
      <c r="C175" s="118"/>
      <c r="D175" s="118"/>
      <c r="E175" s="118"/>
      <c r="F175" s="118"/>
      <c r="G175" s="118"/>
      <c r="H175" s="118"/>
      <c r="I175" s="118"/>
      <c r="J175" s="118"/>
      <c r="K175" s="341"/>
      <c r="L175" s="383"/>
    </row>
    <row r="176" ht="15.75" customHeight="1">
      <c r="A176" s="80" t="s">
        <v>55</v>
      </c>
      <c r="B176" s="118"/>
      <c r="C176" s="118"/>
      <c r="D176" s="118"/>
      <c r="E176" s="118"/>
      <c r="F176" s="118"/>
      <c r="G176" s="118"/>
      <c r="H176" s="118"/>
      <c r="I176" s="118"/>
      <c r="J176" s="118"/>
      <c r="K176" s="341"/>
      <c r="L176" s="383"/>
    </row>
    <row r="177" ht="15.75" customHeight="1">
      <c r="A177" s="80" t="s">
        <v>43</v>
      </c>
      <c r="B177" s="118"/>
      <c r="C177" s="118"/>
      <c r="D177" s="118"/>
      <c r="E177" s="118"/>
      <c r="F177" s="118"/>
      <c r="G177" s="118"/>
      <c r="H177" s="118"/>
      <c r="I177" s="118"/>
      <c r="J177" s="118"/>
      <c r="K177" s="390"/>
      <c r="L177" s="383"/>
    </row>
    <row r="178" ht="15.75" customHeight="1">
      <c r="A178" s="80" t="s">
        <v>59</v>
      </c>
      <c r="B178" s="118"/>
      <c r="C178" s="118"/>
      <c r="D178" s="118"/>
      <c r="E178" s="118"/>
      <c r="F178" s="118"/>
      <c r="G178" s="118"/>
      <c r="H178" s="118"/>
      <c r="I178" s="118"/>
      <c r="J178" s="118"/>
      <c r="K178" s="341"/>
      <c r="L178" s="383"/>
    </row>
    <row r="179" ht="15.75" customHeight="1">
      <c r="A179" s="80" t="s">
        <v>57</v>
      </c>
      <c r="B179" s="118"/>
      <c r="C179" s="118"/>
      <c r="D179" s="118"/>
      <c r="E179" s="118"/>
      <c r="F179" s="118"/>
      <c r="G179" s="118"/>
      <c r="H179" s="118"/>
      <c r="I179" s="118"/>
      <c r="J179" s="118"/>
      <c r="K179" s="341"/>
      <c r="L179" s="383"/>
    </row>
    <row r="180" ht="15.75" customHeight="1">
      <c r="A180" s="80" t="s">
        <v>60</v>
      </c>
      <c r="B180" s="118"/>
      <c r="C180" s="118"/>
      <c r="D180" s="118"/>
      <c r="E180" s="118"/>
      <c r="F180" s="118"/>
      <c r="G180" s="118"/>
      <c r="H180" s="118"/>
      <c r="I180" s="118"/>
      <c r="J180" s="118"/>
      <c r="K180" s="341"/>
      <c r="L180" s="383"/>
    </row>
    <row r="181" ht="15.75" customHeight="1">
      <c r="A181" s="80" t="s">
        <v>61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341"/>
      <c r="L181" s="383"/>
    </row>
    <row r="182" ht="15.75" customHeight="1">
      <c r="L182" s="383"/>
    </row>
    <row r="183" ht="15.75" customHeight="1">
      <c r="A183" s="79" t="s">
        <v>194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101"/>
      <c r="L183" s="383"/>
    </row>
    <row r="184" ht="15.75" customHeight="1">
      <c r="A184" s="130"/>
      <c r="B184" s="114" t="s">
        <v>3</v>
      </c>
      <c r="C184" s="54"/>
      <c r="D184" s="54"/>
      <c r="E184" s="54"/>
      <c r="F184" s="54"/>
      <c r="G184" s="54"/>
      <c r="H184" s="54"/>
      <c r="I184" s="54"/>
      <c r="J184" s="70"/>
      <c r="K184" s="342"/>
      <c r="L184" s="383"/>
    </row>
    <row r="185" ht="15.75" customHeight="1">
      <c r="A185" s="80" t="s">
        <v>93</v>
      </c>
      <c r="B185" s="118">
        <v>28.0</v>
      </c>
      <c r="C185" s="118">
        <v>30.0</v>
      </c>
      <c r="D185" s="118">
        <v>32.0</v>
      </c>
      <c r="E185" s="118">
        <v>34.0</v>
      </c>
      <c r="F185" s="118">
        <v>36.0</v>
      </c>
      <c r="G185" s="118">
        <v>38.0</v>
      </c>
      <c r="H185" s="118">
        <v>40.0</v>
      </c>
      <c r="I185" s="118"/>
      <c r="J185" s="118"/>
      <c r="K185" s="341"/>
      <c r="L185" s="383"/>
    </row>
    <row r="186" ht="15.75" customHeight="1">
      <c r="A186" s="80"/>
      <c r="B186" s="131" t="s">
        <v>5</v>
      </c>
      <c r="C186" s="131" t="s">
        <v>49</v>
      </c>
      <c r="D186" s="131" t="s">
        <v>50</v>
      </c>
      <c r="E186" s="131" t="s">
        <v>51</v>
      </c>
      <c r="F186" s="131" t="s">
        <v>52</v>
      </c>
      <c r="G186" s="131" t="s">
        <v>10</v>
      </c>
      <c r="H186" s="131" t="s">
        <v>11</v>
      </c>
      <c r="I186" s="131" t="s">
        <v>12</v>
      </c>
      <c r="J186" s="131" t="s">
        <v>13</v>
      </c>
      <c r="K186" s="141" t="s">
        <v>53</v>
      </c>
      <c r="L186" s="383"/>
    </row>
    <row r="187" ht="15.75" customHeight="1">
      <c r="A187" s="80" t="s">
        <v>54</v>
      </c>
      <c r="B187" s="118"/>
      <c r="C187" s="118"/>
      <c r="D187" s="118">
        <f>1</f>
        <v>1</v>
      </c>
      <c r="E187" s="118"/>
      <c r="F187" s="118"/>
      <c r="G187" s="118"/>
      <c r="H187" s="118"/>
      <c r="I187" s="118"/>
      <c r="J187" s="118"/>
      <c r="K187" s="341"/>
      <c r="L187" s="383"/>
    </row>
    <row r="188" ht="15.75" customHeight="1">
      <c r="A188" s="80" t="s">
        <v>55</v>
      </c>
      <c r="B188" s="118"/>
      <c r="C188" s="118"/>
      <c r="D188" s="118"/>
      <c r="E188" s="118"/>
      <c r="F188" s="118"/>
      <c r="G188" s="118"/>
      <c r="H188" s="118"/>
      <c r="I188" s="118"/>
      <c r="J188" s="118"/>
      <c r="K188" s="341"/>
      <c r="L188" s="383"/>
    </row>
    <row r="189" ht="15.75" customHeight="1">
      <c r="A189" s="80" t="s">
        <v>43</v>
      </c>
      <c r="B189" s="118"/>
      <c r="C189" s="118"/>
      <c r="D189" s="118"/>
      <c r="E189" s="118"/>
      <c r="F189" s="118"/>
      <c r="G189" s="118"/>
      <c r="H189" s="118"/>
      <c r="I189" s="118"/>
      <c r="J189" s="118"/>
      <c r="K189" s="341"/>
      <c r="L189" s="383"/>
    </row>
    <row r="190" ht="15.75" customHeight="1">
      <c r="A190" s="80" t="s">
        <v>59</v>
      </c>
      <c r="B190" s="118"/>
      <c r="C190" s="118"/>
      <c r="D190" s="118"/>
      <c r="E190" s="118"/>
      <c r="F190" s="118"/>
      <c r="G190" s="118"/>
      <c r="H190" s="118"/>
      <c r="I190" s="118"/>
      <c r="J190" s="118"/>
      <c r="K190" s="341"/>
      <c r="L190" s="383"/>
    </row>
    <row r="191" ht="15.75" customHeight="1">
      <c r="A191" s="80" t="s">
        <v>18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341"/>
      <c r="L191" s="383"/>
    </row>
    <row r="192" ht="15.75" customHeight="1">
      <c r="A192" s="80" t="s">
        <v>60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341"/>
      <c r="L192" s="135"/>
    </row>
    <row r="193" ht="15.75" customHeight="1">
      <c r="A193" s="80" t="s">
        <v>61</v>
      </c>
      <c r="B193" s="118"/>
      <c r="C193" s="118"/>
      <c r="D193" s="118"/>
      <c r="E193" s="118"/>
      <c r="F193" s="118"/>
      <c r="G193" s="118"/>
      <c r="H193" s="118"/>
      <c r="I193" s="118"/>
      <c r="J193" s="118"/>
      <c r="K193" s="341"/>
      <c r="L193" s="371">
        <f>SUM(K175:K181,K187:K193)</f>
        <v>0</v>
      </c>
    </row>
    <row r="194" ht="15.75" customHeight="1"/>
    <row r="195" ht="15.75" customHeight="1">
      <c r="A195" s="79" t="s">
        <v>195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101"/>
      <c r="L195" s="382" t="s">
        <v>53</v>
      </c>
    </row>
    <row r="196" ht="15.75" customHeight="1">
      <c r="A196" s="80"/>
      <c r="B196" s="114" t="s">
        <v>2</v>
      </c>
      <c r="C196" s="54"/>
      <c r="D196" s="54"/>
      <c r="E196" s="54"/>
      <c r="F196" s="54"/>
      <c r="G196" s="54"/>
      <c r="H196" s="54"/>
      <c r="I196" s="54"/>
      <c r="J196" s="70"/>
      <c r="K196" s="342"/>
      <c r="L196" s="383"/>
    </row>
    <row r="197" ht="15.75" customHeight="1">
      <c r="A197" s="80" t="s">
        <v>93</v>
      </c>
      <c r="B197" s="118">
        <v>28.0</v>
      </c>
      <c r="C197" s="118">
        <v>30.0</v>
      </c>
      <c r="D197" s="118">
        <v>32.0</v>
      </c>
      <c r="E197" s="118">
        <v>34.0</v>
      </c>
      <c r="F197" s="118">
        <v>36.0</v>
      </c>
      <c r="G197" s="118">
        <v>38.0</v>
      </c>
      <c r="H197" s="118">
        <v>40.0</v>
      </c>
      <c r="I197" s="118"/>
      <c r="J197" s="118"/>
      <c r="K197" s="341"/>
      <c r="L197" s="383"/>
    </row>
    <row r="198" ht="15.75" customHeight="1">
      <c r="A198" s="80"/>
      <c r="B198" s="131" t="s">
        <v>5</v>
      </c>
      <c r="C198" s="131" t="s">
        <v>49</v>
      </c>
      <c r="D198" s="131" t="s">
        <v>50</v>
      </c>
      <c r="E198" s="131" t="s">
        <v>51</v>
      </c>
      <c r="F198" s="131" t="s">
        <v>52</v>
      </c>
      <c r="G198" s="131" t="s">
        <v>10</v>
      </c>
      <c r="H198" s="131" t="s">
        <v>11</v>
      </c>
      <c r="I198" s="131" t="s">
        <v>12</v>
      </c>
      <c r="J198" s="131" t="s">
        <v>13</v>
      </c>
      <c r="K198" s="141" t="s">
        <v>53</v>
      </c>
      <c r="L198" s="383"/>
    </row>
    <row r="199" ht="15.75" customHeight="1">
      <c r="A199" s="80" t="s">
        <v>54</v>
      </c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383"/>
    </row>
    <row r="200" ht="15.75" customHeight="1">
      <c r="A200" s="80" t="s">
        <v>55</v>
      </c>
      <c r="B200" s="118"/>
      <c r="C200" s="118"/>
      <c r="D200" s="118">
        <f>1</f>
        <v>1</v>
      </c>
      <c r="E200" s="118"/>
      <c r="F200" s="118"/>
      <c r="G200" s="118"/>
      <c r="H200" s="118"/>
      <c r="I200" s="118"/>
      <c r="J200" s="118"/>
      <c r="K200" s="118"/>
      <c r="L200" s="383"/>
    </row>
    <row r="201" ht="15.75" customHeight="1">
      <c r="L201" s="383"/>
    </row>
    <row r="202" ht="15.75" customHeight="1">
      <c r="A202" s="79" t="s">
        <v>195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101"/>
      <c r="L202" s="383"/>
    </row>
    <row r="203" ht="15.75" customHeight="1">
      <c r="A203" s="130"/>
      <c r="B203" s="114" t="s">
        <v>3</v>
      </c>
      <c r="C203" s="54"/>
      <c r="D203" s="54"/>
      <c r="E203" s="54"/>
      <c r="F203" s="54"/>
      <c r="G203" s="54"/>
      <c r="H203" s="54"/>
      <c r="I203" s="54"/>
      <c r="J203" s="70"/>
      <c r="K203" s="342"/>
      <c r="L203" s="383"/>
    </row>
    <row r="204" ht="15.75" customHeight="1">
      <c r="A204" s="80" t="s">
        <v>93</v>
      </c>
      <c r="B204" s="118">
        <v>28.0</v>
      </c>
      <c r="C204" s="118">
        <v>30.0</v>
      </c>
      <c r="D204" s="118">
        <v>32.0</v>
      </c>
      <c r="E204" s="118">
        <v>34.0</v>
      </c>
      <c r="F204" s="118">
        <v>36.0</v>
      </c>
      <c r="G204" s="118">
        <v>38.0</v>
      </c>
      <c r="H204" s="118">
        <v>40.0</v>
      </c>
      <c r="I204" s="118"/>
      <c r="J204" s="118"/>
      <c r="K204" s="341"/>
      <c r="L204" s="383"/>
    </row>
    <row r="205" ht="15.75" customHeight="1">
      <c r="A205" s="80"/>
      <c r="B205" s="131" t="s">
        <v>5</v>
      </c>
      <c r="C205" s="131" t="s">
        <v>49</v>
      </c>
      <c r="D205" s="131" t="s">
        <v>50</v>
      </c>
      <c r="E205" s="131" t="s">
        <v>51</v>
      </c>
      <c r="F205" s="131" t="s">
        <v>52</v>
      </c>
      <c r="G205" s="131" t="s">
        <v>10</v>
      </c>
      <c r="H205" s="131" t="s">
        <v>11</v>
      </c>
      <c r="I205" s="131" t="s">
        <v>12</v>
      </c>
      <c r="J205" s="131" t="s">
        <v>13</v>
      </c>
      <c r="K205" s="141" t="s">
        <v>53</v>
      </c>
      <c r="L205" s="383"/>
    </row>
    <row r="206" ht="15.75" customHeight="1">
      <c r="A206" s="80" t="s">
        <v>54</v>
      </c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35"/>
    </row>
    <row r="207" ht="15.75" customHeight="1">
      <c r="A207" s="80" t="s">
        <v>55</v>
      </c>
      <c r="B207" s="118"/>
      <c r="C207" s="118"/>
      <c r="D207" s="118"/>
      <c r="E207" s="119"/>
      <c r="F207" s="118"/>
      <c r="G207" s="118"/>
      <c r="H207" s="118"/>
      <c r="I207" s="118"/>
      <c r="J207" s="118"/>
      <c r="K207" s="118"/>
      <c r="L207" s="371">
        <f>SUM(K207,K206)</f>
        <v>0</v>
      </c>
    </row>
    <row r="208" ht="15.75" customHeight="1"/>
    <row r="209" ht="15.75" customHeight="1"/>
    <row r="210" ht="15.75" customHeight="1">
      <c r="A210" s="79" t="s">
        <v>196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70"/>
      <c r="L210" s="391" t="s">
        <v>53</v>
      </c>
    </row>
    <row r="211" ht="15.75" customHeight="1">
      <c r="A211" s="130"/>
      <c r="B211" s="114" t="s">
        <v>42</v>
      </c>
      <c r="C211" s="54"/>
      <c r="D211" s="54"/>
      <c r="E211" s="54"/>
      <c r="F211" s="54"/>
      <c r="G211" s="54"/>
      <c r="H211" s="54"/>
      <c r="I211" s="54"/>
      <c r="J211" s="70"/>
      <c r="K211" s="131"/>
      <c r="L211" s="383"/>
    </row>
    <row r="212" ht="15.75" customHeight="1">
      <c r="A212" s="80" t="s">
        <v>93</v>
      </c>
      <c r="B212" s="118">
        <v>28.0</v>
      </c>
      <c r="C212" s="118">
        <v>30.0</v>
      </c>
      <c r="D212" s="118">
        <v>32.0</v>
      </c>
      <c r="E212" s="118">
        <v>34.0</v>
      </c>
      <c r="F212" s="118">
        <v>36.0</v>
      </c>
      <c r="G212" s="118">
        <v>38.0</v>
      </c>
      <c r="H212" s="118">
        <v>40.0</v>
      </c>
      <c r="I212" s="118"/>
      <c r="J212" s="118"/>
      <c r="K212" s="118"/>
      <c r="L212" s="383"/>
    </row>
    <row r="213" ht="15.75" customHeight="1">
      <c r="A213" s="80"/>
      <c r="B213" s="131" t="s">
        <v>5</v>
      </c>
      <c r="C213" s="131" t="s">
        <v>49</v>
      </c>
      <c r="D213" s="131" t="s">
        <v>50</v>
      </c>
      <c r="E213" s="131" t="s">
        <v>51</v>
      </c>
      <c r="F213" s="131" t="s">
        <v>52</v>
      </c>
      <c r="G213" s="131" t="s">
        <v>10</v>
      </c>
      <c r="H213" s="131" t="s">
        <v>11</v>
      </c>
      <c r="I213" s="131" t="s">
        <v>12</v>
      </c>
      <c r="J213" s="131" t="s">
        <v>13</v>
      </c>
      <c r="K213" s="117" t="s">
        <v>53</v>
      </c>
      <c r="L213" s="383"/>
    </row>
    <row r="214" ht="15.75" customHeight="1">
      <c r="A214" s="80" t="s">
        <v>54</v>
      </c>
      <c r="B214" s="118"/>
      <c r="C214" s="118"/>
      <c r="D214" s="118">
        <f>1</f>
        <v>1</v>
      </c>
      <c r="E214" s="118"/>
      <c r="F214" s="118"/>
      <c r="G214" s="118"/>
      <c r="H214" s="118"/>
      <c r="I214" s="118"/>
      <c r="J214" s="118"/>
      <c r="K214" s="386"/>
      <c r="L214" s="135"/>
    </row>
    <row r="215" ht="15.75" customHeight="1">
      <c r="A215" s="80" t="s">
        <v>55</v>
      </c>
      <c r="B215" s="118"/>
      <c r="C215" s="118"/>
      <c r="D215" s="118"/>
      <c r="E215" s="118"/>
      <c r="F215" s="118"/>
      <c r="G215" s="118"/>
      <c r="H215" s="119"/>
      <c r="I215" s="118"/>
      <c r="J215" s="118"/>
      <c r="K215" s="386"/>
      <c r="L215" s="392">
        <f>SUM(K215,K214)</f>
        <v>0</v>
      </c>
    </row>
    <row r="216" ht="15.75" customHeight="1"/>
    <row r="217" ht="15.75" customHeight="1">
      <c r="A217" s="393" t="s">
        <v>197</v>
      </c>
      <c r="B217" s="244"/>
      <c r="C217" s="244"/>
      <c r="D217" s="244"/>
      <c r="E217" s="244"/>
      <c r="F217" s="244"/>
      <c r="G217" s="244"/>
      <c r="H217" s="244"/>
      <c r="I217" s="244"/>
      <c r="J217" s="244"/>
      <c r="K217" s="244"/>
      <c r="L217" s="244"/>
    </row>
    <row r="218" ht="15.75" customHeight="1">
      <c r="A218" s="79" t="s">
        <v>198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101"/>
      <c r="L218" s="394" t="s">
        <v>53</v>
      </c>
    </row>
    <row r="219" ht="15.75" customHeight="1">
      <c r="A219" s="80"/>
      <c r="B219" s="114" t="s">
        <v>2</v>
      </c>
      <c r="C219" s="54"/>
      <c r="D219" s="54"/>
      <c r="E219" s="54"/>
      <c r="F219" s="54"/>
      <c r="G219" s="54"/>
      <c r="H219" s="54"/>
      <c r="I219" s="54"/>
      <c r="J219" s="70"/>
      <c r="K219" s="387"/>
      <c r="L219" s="383"/>
    </row>
    <row r="220" ht="15.75" customHeight="1">
      <c r="A220" s="80" t="s">
        <v>93</v>
      </c>
      <c r="B220" s="118">
        <v>28.0</v>
      </c>
      <c r="C220" s="118">
        <v>30.0</v>
      </c>
      <c r="D220" s="118">
        <v>32.0</v>
      </c>
      <c r="E220" s="118">
        <v>34.0</v>
      </c>
      <c r="F220" s="118">
        <v>36.0</v>
      </c>
      <c r="G220" s="118">
        <v>38.0</v>
      </c>
      <c r="H220" s="118">
        <v>40.0</v>
      </c>
      <c r="I220" s="118"/>
      <c r="J220" s="118"/>
      <c r="K220" s="387"/>
      <c r="L220" s="383"/>
    </row>
    <row r="221" ht="15.75" customHeight="1">
      <c r="A221" s="82"/>
      <c r="B221" s="360" t="s">
        <v>5</v>
      </c>
      <c r="C221" s="360" t="s">
        <v>49</v>
      </c>
      <c r="D221" s="360" t="s">
        <v>50</v>
      </c>
      <c r="E221" s="360" t="s">
        <v>51</v>
      </c>
      <c r="F221" s="360" t="s">
        <v>52</v>
      </c>
      <c r="G221" s="360" t="s">
        <v>10</v>
      </c>
      <c r="H221" s="360" t="s">
        <v>11</v>
      </c>
      <c r="I221" s="360" t="s">
        <v>12</v>
      </c>
      <c r="J221" s="360" t="s">
        <v>13</v>
      </c>
      <c r="K221" s="385" t="s">
        <v>53</v>
      </c>
      <c r="L221" s="383"/>
    </row>
    <row r="222" ht="15.75" customHeight="1">
      <c r="A222" s="80" t="s">
        <v>54</v>
      </c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383"/>
    </row>
    <row r="223" ht="15.75" customHeight="1">
      <c r="A223" s="80" t="s">
        <v>55</v>
      </c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383"/>
    </row>
    <row r="224" ht="15.75" customHeight="1">
      <c r="L224" s="383"/>
    </row>
    <row r="225" ht="15.75" customHeight="1">
      <c r="A225" s="79" t="s">
        <v>199</v>
      </c>
      <c r="B225" s="54"/>
      <c r="C225" s="54"/>
      <c r="D225" s="54"/>
      <c r="E225" s="54"/>
      <c r="F225" s="54"/>
      <c r="G225" s="54"/>
      <c r="H225" s="54"/>
      <c r="I225" s="54"/>
      <c r="J225" s="54"/>
      <c r="K225" s="101"/>
      <c r="L225" s="383"/>
    </row>
    <row r="226" ht="15.75" customHeight="1">
      <c r="A226" s="130"/>
      <c r="B226" s="114" t="s">
        <v>3</v>
      </c>
      <c r="C226" s="54"/>
      <c r="D226" s="54"/>
      <c r="E226" s="54"/>
      <c r="F226" s="54"/>
      <c r="G226" s="54"/>
      <c r="H226" s="54"/>
      <c r="I226" s="54"/>
      <c r="J226" s="70"/>
      <c r="K226" s="387"/>
      <c r="L226" s="383"/>
    </row>
    <row r="227" ht="15.75" customHeight="1">
      <c r="A227" s="80" t="s">
        <v>93</v>
      </c>
      <c r="B227" s="118">
        <v>28.0</v>
      </c>
      <c r="C227" s="118">
        <v>30.0</v>
      </c>
      <c r="D227" s="118">
        <v>32.0</v>
      </c>
      <c r="E227" s="118">
        <v>34.0</v>
      </c>
      <c r="F227" s="118">
        <v>36.0</v>
      </c>
      <c r="G227" s="118">
        <v>38.0</v>
      </c>
      <c r="H227" s="118">
        <v>40.0</v>
      </c>
      <c r="I227" s="118"/>
      <c r="J227" s="118"/>
      <c r="K227" s="387"/>
      <c r="L227" s="383"/>
    </row>
    <row r="228" ht="15.75" customHeight="1">
      <c r="A228" s="80"/>
      <c r="B228" s="131" t="s">
        <v>5</v>
      </c>
      <c r="C228" s="131" t="s">
        <v>49</v>
      </c>
      <c r="D228" s="131" t="s">
        <v>50</v>
      </c>
      <c r="E228" s="131" t="s">
        <v>51</v>
      </c>
      <c r="F228" s="131" t="s">
        <v>52</v>
      </c>
      <c r="G228" s="131" t="s">
        <v>10</v>
      </c>
      <c r="H228" s="131" t="s">
        <v>11</v>
      </c>
      <c r="I228" s="131" t="s">
        <v>12</v>
      </c>
      <c r="J228" s="131" t="s">
        <v>13</v>
      </c>
      <c r="K228" s="141" t="s">
        <v>53</v>
      </c>
      <c r="L228" s="383"/>
    </row>
    <row r="229" ht="15.75" customHeight="1">
      <c r="A229" s="80" t="s">
        <v>54</v>
      </c>
      <c r="B229" s="118"/>
      <c r="C229" s="118"/>
      <c r="D229" s="118">
        <f>1</f>
        <v>1</v>
      </c>
      <c r="E229" s="118"/>
      <c r="F229" s="118"/>
      <c r="G229" s="118"/>
      <c r="H229" s="118"/>
      <c r="I229" s="118"/>
      <c r="J229" s="118"/>
      <c r="K229" s="118"/>
      <c r="L229" s="135"/>
    </row>
    <row r="230" ht="15.75" customHeight="1">
      <c r="A230" s="80" t="s">
        <v>55</v>
      </c>
      <c r="B230" s="118"/>
      <c r="C230" s="118"/>
      <c r="D230" s="118"/>
      <c r="E230" s="118"/>
      <c r="F230" s="118"/>
      <c r="G230" s="119"/>
      <c r="H230" s="118"/>
      <c r="I230" s="118"/>
      <c r="J230" s="118"/>
      <c r="K230" s="118"/>
      <c r="L230" s="372">
        <f>SUM(K222:K223,K229:K230)</f>
        <v>0</v>
      </c>
    </row>
    <row r="231" ht="15.75" customHeight="1"/>
    <row r="232" ht="15.75" customHeight="1">
      <c r="A232" s="79" t="s">
        <v>200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101"/>
      <c r="L232" s="382" t="s">
        <v>53</v>
      </c>
    </row>
    <row r="233" ht="15.75" customHeight="1">
      <c r="A233" s="80"/>
      <c r="B233" s="114" t="s">
        <v>2</v>
      </c>
      <c r="C233" s="54"/>
      <c r="D233" s="54"/>
      <c r="E233" s="54"/>
      <c r="F233" s="54"/>
      <c r="G233" s="54"/>
      <c r="H233" s="54"/>
      <c r="I233" s="54"/>
      <c r="J233" s="70"/>
      <c r="K233" s="387"/>
      <c r="L233" s="383"/>
    </row>
    <row r="234" ht="15.75" customHeight="1">
      <c r="A234" s="80" t="s">
        <v>93</v>
      </c>
      <c r="B234" s="118">
        <v>28.0</v>
      </c>
      <c r="C234" s="118">
        <v>30.0</v>
      </c>
      <c r="D234" s="118">
        <v>32.0</v>
      </c>
      <c r="E234" s="118">
        <v>34.0</v>
      </c>
      <c r="F234" s="118">
        <v>36.0</v>
      </c>
      <c r="G234" s="118">
        <v>38.0</v>
      </c>
      <c r="H234" s="118">
        <v>40.0</v>
      </c>
      <c r="I234" s="118"/>
      <c r="J234" s="118"/>
      <c r="K234" s="387"/>
      <c r="L234" s="383"/>
    </row>
    <row r="235" ht="15.75" customHeight="1">
      <c r="A235" s="80"/>
      <c r="B235" s="131" t="s">
        <v>5</v>
      </c>
      <c r="C235" s="131" t="s">
        <v>49</v>
      </c>
      <c r="D235" s="131" t="s">
        <v>50</v>
      </c>
      <c r="E235" s="131" t="s">
        <v>51</v>
      </c>
      <c r="F235" s="131" t="s">
        <v>52</v>
      </c>
      <c r="G235" s="131" t="s">
        <v>10</v>
      </c>
      <c r="H235" s="131" t="s">
        <v>11</v>
      </c>
      <c r="I235" s="131" t="s">
        <v>12</v>
      </c>
      <c r="J235" s="131" t="s">
        <v>13</v>
      </c>
      <c r="K235" s="141" t="s">
        <v>53</v>
      </c>
      <c r="L235" s="383"/>
    </row>
    <row r="236" ht="15.75" customHeight="1">
      <c r="A236" s="80" t="s">
        <v>54</v>
      </c>
      <c r="B236" s="118">
        <f>1</f>
        <v>1</v>
      </c>
      <c r="C236" s="118"/>
      <c r="D236" s="119"/>
      <c r="E236" s="118"/>
      <c r="F236" s="118"/>
      <c r="G236" s="118"/>
      <c r="H236" s="118"/>
      <c r="I236" s="118"/>
      <c r="J236" s="118"/>
      <c r="K236" s="118"/>
      <c r="L236" s="383"/>
    </row>
    <row r="237" ht="15.75" customHeight="1">
      <c r="A237" s="80" t="s">
        <v>55</v>
      </c>
      <c r="B237" s="118"/>
      <c r="C237" s="118"/>
      <c r="D237" s="118"/>
      <c r="E237" s="119"/>
      <c r="F237" s="118"/>
      <c r="G237" s="118"/>
      <c r="H237" s="118"/>
      <c r="I237" s="118"/>
      <c r="J237" s="118"/>
      <c r="K237" s="118"/>
      <c r="L237" s="383"/>
    </row>
    <row r="238" ht="15.75" customHeight="1">
      <c r="A238" s="80" t="s">
        <v>57</v>
      </c>
      <c r="B238" s="118"/>
      <c r="C238" s="118"/>
      <c r="D238" s="329"/>
      <c r="E238" s="118"/>
      <c r="F238" s="329"/>
      <c r="G238" s="329"/>
      <c r="H238" s="118"/>
      <c r="I238" s="118"/>
      <c r="J238" s="118"/>
      <c r="K238" s="118"/>
      <c r="L238" s="383"/>
    </row>
    <row r="239" ht="15.75" customHeight="1">
      <c r="G239" s="120"/>
      <c r="L239" s="383"/>
    </row>
    <row r="240" ht="15.75" customHeight="1">
      <c r="A240" s="79" t="s">
        <v>200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101"/>
      <c r="L240" s="383"/>
    </row>
    <row r="241" ht="15.75" customHeight="1">
      <c r="A241" s="130"/>
      <c r="B241" s="114" t="s">
        <v>3</v>
      </c>
      <c r="C241" s="54"/>
      <c r="D241" s="54"/>
      <c r="E241" s="54"/>
      <c r="F241" s="54"/>
      <c r="G241" s="54"/>
      <c r="H241" s="54"/>
      <c r="I241" s="54"/>
      <c r="J241" s="70"/>
      <c r="K241" s="387"/>
      <c r="L241" s="383"/>
    </row>
    <row r="242" ht="15.75" customHeight="1">
      <c r="A242" s="80" t="s">
        <v>93</v>
      </c>
      <c r="B242" s="118">
        <v>28.0</v>
      </c>
      <c r="C242" s="118">
        <v>30.0</v>
      </c>
      <c r="D242" s="118">
        <v>32.0</v>
      </c>
      <c r="E242" s="118">
        <v>34.0</v>
      </c>
      <c r="F242" s="118">
        <v>36.0</v>
      </c>
      <c r="G242" s="118">
        <v>38.0</v>
      </c>
      <c r="H242" s="118">
        <v>40.0</v>
      </c>
      <c r="I242" s="118"/>
      <c r="J242" s="118"/>
      <c r="K242" s="387"/>
      <c r="L242" s="383"/>
    </row>
    <row r="243" ht="15.75" customHeight="1">
      <c r="A243" s="80"/>
      <c r="B243" s="131" t="s">
        <v>5</v>
      </c>
      <c r="C243" s="131" t="s">
        <v>49</v>
      </c>
      <c r="D243" s="131" t="s">
        <v>50</v>
      </c>
      <c r="E243" s="131" t="s">
        <v>51</v>
      </c>
      <c r="F243" s="131" t="s">
        <v>52</v>
      </c>
      <c r="G243" s="131" t="s">
        <v>10</v>
      </c>
      <c r="H243" s="131" t="s">
        <v>11</v>
      </c>
      <c r="I243" s="131" t="s">
        <v>12</v>
      </c>
      <c r="J243" s="131" t="s">
        <v>13</v>
      </c>
      <c r="K243" s="141" t="s">
        <v>53</v>
      </c>
      <c r="L243" s="383"/>
    </row>
    <row r="244" ht="15.75" customHeight="1">
      <c r="A244" s="80" t="s">
        <v>54</v>
      </c>
      <c r="B244" s="118"/>
      <c r="C244" s="118"/>
      <c r="D244" s="118"/>
      <c r="E244" s="118"/>
      <c r="F244" s="118"/>
      <c r="G244" s="118"/>
      <c r="H244" s="118"/>
      <c r="I244" s="118"/>
      <c r="J244" s="118"/>
      <c r="K244" s="118">
        <f t="shared" ref="K244:K246" si="31">SUM(B244:J244)</f>
        <v>0</v>
      </c>
      <c r="L244" s="383"/>
    </row>
    <row r="245" ht="15.75" customHeight="1">
      <c r="A245" s="80" t="s">
        <v>55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>
        <f t="shared" si="31"/>
        <v>0</v>
      </c>
      <c r="L245" s="135"/>
    </row>
    <row r="246" ht="15.75" customHeight="1">
      <c r="A246" s="80" t="s">
        <v>18</v>
      </c>
      <c r="B246" s="329"/>
      <c r="C246" s="329"/>
      <c r="D246" s="329"/>
      <c r="E246" s="329"/>
      <c r="F246" s="118"/>
      <c r="G246" s="329"/>
      <c r="H246" s="118"/>
      <c r="I246" s="119"/>
      <c r="J246" s="118"/>
      <c r="K246" s="118">
        <f t="shared" si="31"/>
        <v>0</v>
      </c>
      <c r="L246" s="372">
        <f>SUM(K236:K238,K244:K246)</f>
        <v>0</v>
      </c>
    </row>
    <row r="247" ht="15.75" customHeight="1">
      <c r="K247" s="395"/>
    </row>
    <row r="248" ht="15.75" customHeight="1">
      <c r="A248" s="79" t="s">
        <v>201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101"/>
      <c r="L248" s="382" t="s">
        <v>53</v>
      </c>
    </row>
    <row r="249" ht="15.75" customHeight="1">
      <c r="A249" s="80"/>
      <c r="B249" s="114" t="s">
        <v>2</v>
      </c>
      <c r="C249" s="54"/>
      <c r="D249" s="54"/>
      <c r="E249" s="54"/>
      <c r="F249" s="54"/>
      <c r="G249" s="54"/>
      <c r="H249" s="54"/>
      <c r="I249" s="54"/>
      <c r="J249" s="70"/>
      <c r="K249" s="387"/>
      <c r="L249" s="383"/>
    </row>
    <row r="250" ht="15.75" customHeight="1">
      <c r="A250" s="80" t="s">
        <v>93</v>
      </c>
      <c r="B250" s="118">
        <v>28.0</v>
      </c>
      <c r="C250" s="118">
        <v>30.0</v>
      </c>
      <c r="D250" s="118">
        <v>32.0</v>
      </c>
      <c r="E250" s="118">
        <v>34.0</v>
      </c>
      <c r="F250" s="118">
        <v>36.0</v>
      </c>
      <c r="G250" s="118">
        <v>38.0</v>
      </c>
      <c r="H250" s="118">
        <v>40.0</v>
      </c>
      <c r="I250" s="118"/>
      <c r="J250" s="118"/>
      <c r="K250" s="387"/>
      <c r="L250" s="383"/>
    </row>
    <row r="251" ht="15.75" customHeight="1">
      <c r="A251" s="80"/>
      <c r="B251" s="131" t="s">
        <v>5</v>
      </c>
      <c r="C251" s="131" t="s">
        <v>49</v>
      </c>
      <c r="D251" s="131" t="s">
        <v>50</v>
      </c>
      <c r="E251" s="103" t="s">
        <v>51</v>
      </c>
      <c r="F251" s="131" t="s">
        <v>52</v>
      </c>
      <c r="G251" s="131" t="s">
        <v>10</v>
      </c>
      <c r="H251" s="131" t="s">
        <v>11</v>
      </c>
      <c r="I251" s="131" t="s">
        <v>12</v>
      </c>
      <c r="J251" s="131" t="s">
        <v>13</v>
      </c>
      <c r="K251" s="141" t="s">
        <v>53</v>
      </c>
      <c r="L251" s="383"/>
    </row>
    <row r="252" ht="15.75" customHeight="1">
      <c r="A252" s="80" t="s">
        <v>54</v>
      </c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383"/>
    </row>
    <row r="253" ht="15.75" customHeight="1">
      <c r="A253" s="80" t="s">
        <v>55</v>
      </c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383"/>
    </row>
    <row r="254" ht="15.75" customHeight="1">
      <c r="A254" s="80" t="s">
        <v>57</v>
      </c>
      <c r="B254" s="118"/>
      <c r="C254" s="118"/>
      <c r="D254" s="118">
        <f>1-1</f>
        <v>0</v>
      </c>
      <c r="E254" s="118"/>
      <c r="F254" s="118"/>
      <c r="G254" s="118"/>
      <c r="H254" s="118"/>
      <c r="I254" s="118"/>
      <c r="J254" s="118"/>
      <c r="K254" s="118"/>
      <c r="L254" s="383"/>
    </row>
    <row r="255" ht="15.75" customHeight="1">
      <c r="A255" s="80" t="s">
        <v>59</v>
      </c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383"/>
    </row>
    <row r="256" ht="15.75" customHeight="1">
      <c r="A256" s="80"/>
      <c r="B256" s="118"/>
      <c r="C256" s="118"/>
      <c r="D256" s="118"/>
      <c r="E256" s="118"/>
      <c r="F256" s="118"/>
      <c r="G256" s="118"/>
      <c r="H256" s="118"/>
      <c r="I256" s="118"/>
      <c r="J256" s="118"/>
      <c r="K256" s="387"/>
      <c r="L256" s="383"/>
    </row>
    <row r="257" ht="15.75" customHeight="1">
      <c r="A257" s="80"/>
      <c r="B257" s="118"/>
      <c r="C257" s="118"/>
      <c r="D257" s="118"/>
      <c r="E257" s="118"/>
      <c r="F257" s="118"/>
      <c r="G257" s="118"/>
      <c r="H257" s="118"/>
      <c r="I257" s="118"/>
      <c r="J257" s="118"/>
      <c r="K257" s="387"/>
      <c r="L257" s="383"/>
    </row>
    <row r="258" ht="15.75" customHeight="1">
      <c r="A258" s="80"/>
      <c r="B258" s="118"/>
      <c r="C258" s="118"/>
      <c r="D258" s="118"/>
      <c r="E258" s="118"/>
      <c r="F258" s="118"/>
      <c r="G258" s="118"/>
      <c r="H258" s="118"/>
      <c r="I258" s="118"/>
      <c r="J258" s="118"/>
      <c r="K258" s="387"/>
      <c r="L258" s="383"/>
    </row>
    <row r="259" ht="15.75" customHeight="1">
      <c r="L259" s="383"/>
    </row>
    <row r="260" ht="15.75" customHeight="1">
      <c r="A260" s="79" t="s">
        <v>201</v>
      </c>
      <c r="B260" s="54"/>
      <c r="C260" s="54"/>
      <c r="D260" s="54"/>
      <c r="E260" s="54"/>
      <c r="F260" s="54"/>
      <c r="G260" s="54"/>
      <c r="H260" s="54"/>
      <c r="I260" s="54"/>
      <c r="J260" s="54"/>
      <c r="K260" s="101"/>
      <c r="L260" s="383"/>
    </row>
    <row r="261" ht="15.75" customHeight="1">
      <c r="A261" s="130"/>
      <c r="B261" s="114" t="s">
        <v>3</v>
      </c>
      <c r="C261" s="54"/>
      <c r="D261" s="54"/>
      <c r="E261" s="54"/>
      <c r="F261" s="54"/>
      <c r="G261" s="54"/>
      <c r="H261" s="54"/>
      <c r="I261" s="54"/>
      <c r="J261" s="70"/>
      <c r="K261" s="387"/>
      <c r="L261" s="383"/>
    </row>
    <row r="262" ht="15.75" customHeight="1">
      <c r="A262" s="80" t="s">
        <v>93</v>
      </c>
      <c r="B262" s="118">
        <v>28.0</v>
      </c>
      <c r="C262" s="118">
        <v>30.0</v>
      </c>
      <c r="D262" s="118">
        <v>32.0</v>
      </c>
      <c r="E262" s="118">
        <v>34.0</v>
      </c>
      <c r="F262" s="118">
        <v>36.0</v>
      </c>
      <c r="G262" s="118">
        <v>38.0</v>
      </c>
      <c r="H262" s="118">
        <v>40.0</v>
      </c>
      <c r="I262" s="118"/>
      <c r="J262" s="118"/>
      <c r="K262" s="387"/>
      <c r="L262" s="383"/>
    </row>
    <row r="263" ht="15.75" customHeight="1">
      <c r="A263" s="80"/>
      <c r="B263" s="131" t="s">
        <v>5</v>
      </c>
      <c r="C263" s="131" t="s">
        <v>49</v>
      </c>
      <c r="D263" s="131" t="s">
        <v>50</v>
      </c>
      <c r="E263" s="131" t="s">
        <v>51</v>
      </c>
      <c r="F263" s="131" t="s">
        <v>52</v>
      </c>
      <c r="G263" s="131" t="s">
        <v>10</v>
      </c>
      <c r="H263" s="131" t="s">
        <v>11</v>
      </c>
      <c r="I263" s="131" t="s">
        <v>12</v>
      </c>
      <c r="J263" s="131" t="s">
        <v>13</v>
      </c>
      <c r="K263" s="141" t="s">
        <v>53</v>
      </c>
      <c r="L263" s="383"/>
    </row>
    <row r="264" ht="15.75" customHeight="1">
      <c r="A264" s="80" t="s">
        <v>54</v>
      </c>
      <c r="B264" s="118"/>
      <c r="C264" s="118"/>
      <c r="D264" s="118"/>
      <c r="E264" s="118">
        <f>1</f>
        <v>1</v>
      </c>
      <c r="F264" s="118"/>
      <c r="G264" s="118"/>
      <c r="H264" s="118"/>
      <c r="I264" s="118"/>
      <c r="J264" s="118"/>
      <c r="K264" s="118"/>
      <c r="L264" s="383"/>
    </row>
    <row r="265" ht="15.75" customHeight="1">
      <c r="A265" s="80" t="s">
        <v>55</v>
      </c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383"/>
    </row>
    <row r="266" ht="15.75" customHeight="1">
      <c r="A266" s="80" t="s">
        <v>18</v>
      </c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383"/>
    </row>
    <row r="267" ht="15.75" customHeight="1">
      <c r="A267" s="396" t="s">
        <v>59</v>
      </c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383"/>
    </row>
    <row r="268" ht="15.75" customHeight="1">
      <c r="A268" s="80"/>
      <c r="B268" s="118"/>
      <c r="C268" s="118"/>
      <c r="D268" s="118"/>
      <c r="E268" s="118"/>
      <c r="F268" s="118"/>
      <c r="G268" s="118"/>
      <c r="H268" s="118"/>
      <c r="I268" s="118"/>
      <c r="J268" s="118"/>
      <c r="K268" s="387"/>
      <c r="L268" s="383"/>
    </row>
    <row r="269" ht="15.75" customHeight="1">
      <c r="A269" s="80"/>
      <c r="B269" s="118"/>
      <c r="C269" s="118"/>
      <c r="D269" s="118"/>
      <c r="E269" s="118"/>
      <c r="F269" s="118"/>
      <c r="G269" s="118"/>
      <c r="H269" s="118"/>
      <c r="I269" s="118"/>
      <c r="J269" s="118"/>
      <c r="K269" s="387"/>
      <c r="L269" s="135"/>
    </row>
    <row r="270" ht="15.75" customHeight="1">
      <c r="A270" s="80"/>
      <c r="B270" s="118"/>
      <c r="C270" s="118"/>
      <c r="D270" s="118"/>
      <c r="E270" s="118"/>
      <c r="F270" s="118"/>
      <c r="G270" s="118"/>
      <c r="H270" s="118"/>
      <c r="I270" s="118"/>
      <c r="J270" s="118"/>
      <c r="K270" s="387"/>
      <c r="L270" s="372">
        <f>SUM(K252:K258,K264:K270)</f>
        <v>0</v>
      </c>
    </row>
    <row r="271" ht="15.75" customHeight="1"/>
    <row r="272" ht="15.75" customHeight="1">
      <c r="A272" s="79" t="s">
        <v>202</v>
      </c>
      <c r="B272" s="54"/>
      <c r="C272" s="54"/>
      <c r="D272" s="54"/>
      <c r="E272" s="54"/>
      <c r="F272" s="54"/>
      <c r="G272" s="54"/>
      <c r="H272" s="54"/>
      <c r="I272" s="54"/>
      <c r="J272" s="54"/>
      <c r="K272" s="101"/>
      <c r="L272" s="382" t="s">
        <v>53</v>
      </c>
    </row>
    <row r="273" ht="15.75" customHeight="1">
      <c r="A273" s="80"/>
      <c r="B273" s="114" t="s">
        <v>2</v>
      </c>
      <c r="C273" s="54"/>
      <c r="D273" s="54"/>
      <c r="E273" s="54"/>
      <c r="F273" s="54"/>
      <c r="G273" s="54"/>
      <c r="H273" s="54"/>
      <c r="I273" s="54"/>
      <c r="J273" s="70"/>
      <c r="K273" s="387"/>
      <c r="L273" s="383"/>
    </row>
    <row r="274" ht="15.75" customHeight="1">
      <c r="A274" s="80" t="s">
        <v>93</v>
      </c>
      <c r="B274" s="118">
        <v>28.0</v>
      </c>
      <c r="C274" s="118">
        <v>30.0</v>
      </c>
      <c r="D274" s="118">
        <v>32.0</v>
      </c>
      <c r="E274" s="118">
        <v>34.0</v>
      </c>
      <c r="F274" s="118">
        <v>36.0</v>
      </c>
      <c r="G274" s="118">
        <v>38.0</v>
      </c>
      <c r="H274" s="118">
        <v>40.0</v>
      </c>
      <c r="I274" s="118"/>
      <c r="J274" s="118"/>
      <c r="K274" s="387"/>
      <c r="L274" s="383"/>
    </row>
    <row r="275" ht="15.75" customHeight="1">
      <c r="A275" s="80"/>
      <c r="B275" s="131" t="s">
        <v>5</v>
      </c>
      <c r="C275" s="131" t="s">
        <v>49</v>
      </c>
      <c r="D275" s="131" t="s">
        <v>50</v>
      </c>
      <c r="E275" s="131" t="s">
        <v>51</v>
      </c>
      <c r="F275" s="131" t="s">
        <v>52</v>
      </c>
      <c r="G275" s="131" t="s">
        <v>10</v>
      </c>
      <c r="H275" s="131" t="s">
        <v>11</v>
      </c>
      <c r="I275" s="131" t="s">
        <v>12</v>
      </c>
      <c r="J275" s="131" t="s">
        <v>13</v>
      </c>
      <c r="K275" s="141" t="s">
        <v>53</v>
      </c>
      <c r="L275" s="383"/>
    </row>
    <row r="276" ht="15.75" customHeight="1">
      <c r="A276" s="80" t="s">
        <v>54</v>
      </c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383"/>
    </row>
    <row r="277" ht="15.75" customHeight="1">
      <c r="A277" s="80" t="s">
        <v>55</v>
      </c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383"/>
    </row>
    <row r="278" ht="15.75" customHeight="1">
      <c r="L278" s="383"/>
    </row>
    <row r="279" ht="15.75" customHeight="1">
      <c r="A279" s="79" t="s">
        <v>202</v>
      </c>
      <c r="B279" s="54"/>
      <c r="C279" s="54"/>
      <c r="D279" s="54"/>
      <c r="E279" s="54"/>
      <c r="F279" s="54"/>
      <c r="G279" s="54"/>
      <c r="H279" s="54"/>
      <c r="I279" s="54"/>
      <c r="J279" s="54"/>
      <c r="K279" s="101"/>
      <c r="L279" s="383"/>
    </row>
    <row r="280" ht="15.75" customHeight="1">
      <c r="A280" s="130"/>
      <c r="B280" s="114" t="s">
        <v>3</v>
      </c>
      <c r="C280" s="54"/>
      <c r="D280" s="54"/>
      <c r="E280" s="54"/>
      <c r="F280" s="54"/>
      <c r="G280" s="54"/>
      <c r="H280" s="54"/>
      <c r="I280" s="54"/>
      <c r="J280" s="70"/>
      <c r="K280" s="387"/>
      <c r="L280" s="383"/>
    </row>
    <row r="281" ht="15.75" customHeight="1">
      <c r="A281" s="80" t="s">
        <v>93</v>
      </c>
      <c r="B281" s="118">
        <v>28.0</v>
      </c>
      <c r="C281" s="118">
        <v>30.0</v>
      </c>
      <c r="D281" s="118">
        <v>32.0</v>
      </c>
      <c r="E281" s="118">
        <v>34.0</v>
      </c>
      <c r="F281" s="118">
        <v>36.0</v>
      </c>
      <c r="G281" s="118">
        <v>38.0</v>
      </c>
      <c r="H281" s="118">
        <v>40.0</v>
      </c>
      <c r="I281" s="118"/>
      <c r="J281" s="118"/>
      <c r="K281" s="387"/>
      <c r="L281" s="383"/>
    </row>
    <row r="282" ht="15.75" customHeight="1">
      <c r="A282" s="80"/>
      <c r="B282" s="131" t="s">
        <v>5</v>
      </c>
      <c r="C282" s="131" t="s">
        <v>49</v>
      </c>
      <c r="D282" s="131" t="s">
        <v>50</v>
      </c>
      <c r="E282" s="131" t="s">
        <v>51</v>
      </c>
      <c r="F282" s="131" t="s">
        <v>52</v>
      </c>
      <c r="G282" s="131" t="s">
        <v>10</v>
      </c>
      <c r="H282" s="131" t="s">
        <v>11</v>
      </c>
      <c r="I282" s="131" t="s">
        <v>12</v>
      </c>
      <c r="J282" s="131" t="s">
        <v>13</v>
      </c>
      <c r="K282" s="141" t="s">
        <v>53</v>
      </c>
      <c r="L282" s="383"/>
    </row>
    <row r="283" ht="15.75" customHeight="1">
      <c r="A283" s="80" t="s">
        <v>54</v>
      </c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35"/>
    </row>
    <row r="284" ht="15.75" customHeight="1">
      <c r="A284" s="80" t="s">
        <v>55</v>
      </c>
      <c r="B284" s="118"/>
      <c r="C284" s="118"/>
      <c r="D284" s="118">
        <f>1</f>
        <v>1</v>
      </c>
      <c r="E284" s="118"/>
      <c r="F284" s="118"/>
      <c r="G284" s="118"/>
      <c r="H284" s="118"/>
      <c r="I284" s="118"/>
      <c r="J284" s="118"/>
      <c r="K284" s="118"/>
      <c r="L284" s="372">
        <f>SUM(K284,K283,K277,K276)</f>
        <v>0</v>
      </c>
    </row>
    <row r="285" ht="15.75" customHeight="1"/>
    <row r="286" ht="15.75" customHeight="1">
      <c r="A286" s="79" t="s">
        <v>203</v>
      </c>
      <c r="B286" s="54"/>
      <c r="C286" s="54"/>
      <c r="D286" s="54"/>
      <c r="E286" s="54"/>
      <c r="F286" s="54"/>
      <c r="G286" s="54"/>
      <c r="H286" s="54"/>
      <c r="I286" s="54"/>
      <c r="J286" s="54"/>
      <c r="K286" s="101"/>
      <c r="L286" s="391" t="s">
        <v>53</v>
      </c>
    </row>
    <row r="287" ht="15.75" customHeight="1">
      <c r="A287" s="130"/>
      <c r="B287" s="114" t="s">
        <v>42</v>
      </c>
      <c r="C287" s="54"/>
      <c r="D287" s="54"/>
      <c r="E287" s="54"/>
      <c r="F287" s="54"/>
      <c r="G287" s="54"/>
      <c r="H287" s="54"/>
      <c r="I287" s="54"/>
      <c r="J287" s="70"/>
      <c r="K287" s="387"/>
      <c r="L287" s="383"/>
    </row>
    <row r="288" ht="15.75" customHeight="1">
      <c r="A288" s="80" t="s">
        <v>93</v>
      </c>
      <c r="B288" s="118">
        <v>28.0</v>
      </c>
      <c r="C288" s="118">
        <v>30.0</v>
      </c>
      <c r="D288" s="118">
        <v>32.0</v>
      </c>
      <c r="E288" s="118">
        <v>34.0</v>
      </c>
      <c r="F288" s="118">
        <v>36.0</v>
      </c>
      <c r="G288" s="118">
        <v>38.0</v>
      </c>
      <c r="H288" s="118">
        <v>40.0</v>
      </c>
      <c r="I288" s="118"/>
      <c r="J288" s="118"/>
      <c r="K288" s="387"/>
      <c r="L288" s="383"/>
    </row>
    <row r="289" ht="15.75" customHeight="1">
      <c r="A289" s="80"/>
      <c r="B289" s="131" t="s">
        <v>5</v>
      </c>
      <c r="C289" s="131" t="s">
        <v>49</v>
      </c>
      <c r="D289" s="131" t="s">
        <v>50</v>
      </c>
      <c r="E289" s="131" t="s">
        <v>51</v>
      </c>
      <c r="F289" s="131" t="s">
        <v>52</v>
      </c>
      <c r="G289" s="131" t="s">
        <v>10</v>
      </c>
      <c r="H289" s="131" t="s">
        <v>11</v>
      </c>
      <c r="I289" s="131" t="s">
        <v>12</v>
      </c>
      <c r="J289" s="131" t="s">
        <v>13</v>
      </c>
      <c r="K289" s="141" t="s">
        <v>53</v>
      </c>
      <c r="L289" s="383"/>
    </row>
    <row r="290" ht="15.75" customHeight="1">
      <c r="A290" s="80" t="s">
        <v>54</v>
      </c>
      <c r="B290" s="118">
        <f t="shared" ref="B290:B291" si="32">1</f>
        <v>1</v>
      </c>
      <c r="C290" s="118"/>
      <c r="D290" s="118"/>
      <c r="E290" s="118"/>
      <c r="F290" s="118"/>
      <c r="G290" s="118"/>
      <c r="H290" s="118"/>
      <c r="I290" s="118"/>
      <c r="J290" s="118"/>
      <c r="K290" s="118"/>
      <c r="L290" s="135"/>
    </row>
    <row r="291" ht="15.75" customHeight="1">
      <c r="A291" s="80" t="s">
        <v>55</v>
      </c>
      <c r="B291" s="118">
        <f t="shared" si="32"/>
        <v>1</v>
      </c>
      <c r="C291" s="118"/>
      <c r="D291" s="118"/>
      <c r="E291" s="118"/>
      <c r="F291" s="118"/>
      <c r="G291" s="118"/>
      <c r="H291" s="118"/>
      <c r="I291" s="118"/>
      <c r="J291" s="118"/>
      <c r="K291" s="118"/>
      <c r="L291" s="372">
        <f>SUM(K290:K291)</f>
        <v>0</v>
      </c>
    </row>
    <row r="292" ht="15.75" customHeight="1">
      <c r="E292" s="384" t="s">
        <v>204</v>
      </c>
    </row>
    <row r="293" ht="15.75" customHeight="1">
      <c r="A293" s="79" t="s">
        <v>205</v>
      </c>
      <c r="B293" s="54"/>
      <c r="C293" s="54"/>
      <c r="D293" s="54"/>
      <c r="E293" s="54"/>
      <c r="F293" s="54"/>
      <c r="G293" s="54"/>
      <c r="H293" s="54"/>
      <c r="I293" s="54"/>
      <c r="J293" s="54"/>
      <c r="K293" s="101"/>
      <c r="L293" s="382" t="s">
        <v>53</v>
      </c>
    </row>
    <row r="294" ht="15.75" customHeight="1">
      <c r="A294" s="130"/>
      <c r="B294" s="114" t="s">
        <v>42</v>
      </c>
      <c r="C294" s="54"/>
      <c r="D294" s="54"/>
      <c r="E294" s="54"/>
      <c r="F294" s="54"/>
      <c r="G294" s="54"/>
      <c r="H294" s="54"/>
      <c r="I294" s="54"/>
      <c r="J294" s="70"/>
      <c r="K294" s="387"/>
      <c r="L294" s="383"/>
    </row>
    <row r="295" ht="15.75" customHeight="1">
      <c r="A295" s="80" t="s">
        <v>93</v>
      </c>
      <c r="B295" s="118">
        <v>42.0</v>
      </c>
      <c r="C295" s="118">
        <v>44.0</v>
      </c>
      <c r="D295" s="118">
        <v>46.0</v>
      </c>
      <c r="E295" s="118">
        <v>48.0</v>
      </c>
      <c r="F295" s="118">
        <v>50.0</v>
      </c>
      <c r="G295" s="118">
        <v>52.0</v>
      </c>
      <c r="H295" s="118">
        <v>54.0</v>
      </c>
      <c r="I295" s="118"/>
      <c r="J295" s="118"/>
      <c r="K295" s="387"/>
      <c r="L295" s="383"/>
    </row>
    <row r="296" ht="15.75" customHeight="1">
      <c r="A296" s="80"/>
      <c r="B296" s="131" t="s">
        <v>5</v>
      </c>
      <c r="C296" s="131" t="s">
        <v>49</v>
      </c>
      <c r="D296" s="131" t="s">
        <v>50</v>
      </c>
      <c r="E296" s="131" t="s">
        <v>51</v>
      </c>
      <c r="F296" s="131" t="s">
        <v>52</v>
      </c>
      <c r="G296" s="131" t="s">
        <v>10</v>
      </c>
      <c r="H296" s="131" t="s">
        <v>11</v>
      </c>
      <c r="I296" s="131" t="s">
        <v>12</v>
      </c>
      <c r="J296" s="131" t="s">
        <v>13</v>
      </c>
      <c r="K296" s="141" t="s">
        <v>53</v>
      </c>
      <c r="L296" s="383"/>
    </row>
    <row r="297" ht="15.75" customHeight="1">
      <c r="A297" s="136" t="s">
        <v>54</v>
      </c>
      <c r="B297" s="137"/>
      <c r="C297" s="137"/>
      <c r="D297" s="137"/>
      <c r="E297" s="137"/>
      <c r="F297" s="137"/>
      <c r="G297" s="137"/>
      <c r="H297" s="137"/>
      <c r="I297" s="137"/>
      <c r="J297" s="137"/>
      <c r="K297" s="118"/>
      <c r="L297" s="383"/>
    </row>
    <row r="298" ht="15.75" customHeight="1">
      <c r="A298" s="136" t="s">
        <v>55</v>
      </c>
      <c r="B298" s="137"/>
      <c r="C298" s="137"/>
      <c r="D298" s="137">
        <f>1</f>
        <v>1</v>
      </c>
      <c r="E298" s="137"/>
      <c r="F298" s="137"/>
      <c r="G298" s="137"/>
      <c r="H298" s="137"/>
      <c r="I298" s="137"/>
      <c r="J298" s="137"/>
      <c r="K298" s="118"/>
      <c r="L298" s="383"/>
    </row>
    <row r="299" ht="15.75" customHeight="1">
      <c r="A299" s="136" t="s">
        <v>74</v>
      </c>
      <c r="B299" s="137"/>
      <c r="C299" s="137"/>
      <c r="D299" s="137"/>
      <c r="E299" s="137"/>
      <c r="F299" s="137"/>
      <c r="G299" s="137"/>
      <c r="H299" s="137"/>
      <c r="I299" s="137"/>
      <c r="J299" s="137"/>
      <c r="K299" s="118"/>
      <c r="L299" s="383"/>
    </row>
    <row r="300" ht="15.75" customHeight="1">
      <c r="A300" s="136" t="s">
        <v>43</v>
      </c>
      <c r="B300" s="137"/>
      <c r="C300" s="137"/>
      <c r="D300" s="137"/>
      <c r="E300" s="137"/>
      <c r="F300" s="137"/>
      <c r="G300" s="137"/>
      <c r="H300" s="137"/>
      <c r="I300" s="137"/>
      <c r="J300" s="137"/>
      <c r="K300" s="118"/>
      <c r="L300" s="135"/>
    </row>
    <row r="301" ht="15.75" customHeight="1">
      <c r="A301" s="136" t="s">
        <v>18</v>
      </c>
      <c r="B301" s="137"/>
      <c r="C301" s="137"/>
      <c r="D301" s="137"/>
      <c r="E301" s="137"/>
      <c r="F301" s="137"/>
      <c r="G301" s="137"/>
      <c r="H301" s="137"/>
      <c r="I301" s="137"/>
      <c r="J301" s="137"/>
      <c r="K301" s="118"/>
      <c r="L301" s="372">
        <f>SUM(K297:K301)</f>
        <v>0</v>
      </c>
    </row>
    <row r="302" ht="15.75" customHeight="1"/>
    <row r="303" ht="15.75" customHeight="1">
      <c r="A303" s="79" t="s">
        <v>206</v>
      </c>
      <c r="B303" s="54"/>
      <c r="C303" s="54"/>
      <c r="D303" s="54"/>
      <c r="E303" s="54"/>
      <c r="F303" s="54"/>
      <c r="G303" s="54"/>
      <c r="H303" s="54"/>
      <c r="I303" s="54"/>
      <c r="J303" s="54"/>
      <c r="K303" s="101"/>
      <c r="L303" s="391" t="s">
        <v>53</v>
      </c>
    </row>
    <row r="304" ht="15.75" customHeight="1">
      <c r="A304" s="130"/>
      <c r="B304" s="114" t="s">
        <v>2</v>
      </c>
      <c r="C304" s="54"/>
      <c r="D304" s="54"/>
      <c r="E304" s="54"/>
      <c r="F304" s="54"/>
      <c r="G304" s="54"/>
      <c r="H304" s="54"/>
      <c r="I304" s="54"/>
      <c r="J304" s="70"/>
      <c r="K304" s="387"/>
      <c r="L304" s="383"/>
    </row>
    <row r="305" ht="15.75" customHeight="1">
      <c r="A305" s="80" t="s">
        <v>93</v>
      </c>
      <c r="B305" s="118">
        <v>28.0</v>
      </c>
      <c r="C305" s="118">
        <v>30.0</v>
      </c>
      <c r="D305" s="118">
        <v>32.0</v>
      </c>
      <c r="E305" s="118">
        <v>34.0</v>
      </c>
      <c r="F305" s="118">
        <v>36.0</v>
      </c>
      <c r="G305" s="118">
        <v>38.0</v>
      </c>
      <c r="H305" s="118">
        <v>40.0</v>
      </c>
      <c r="I305" s="118"/>
      <c r="J305" s="118"/>
      <c r="K305" s="387"/>
      <c r="L305" s="383"/>
    </row>
    <row r="306" ht="15.75" customHeight="1">
      <c r="A306" s="80"/>
      <c r="B306" s="131" t="s">
        <v>5</v>
      </c>
      <c r="C306" s="131" t="s">
        <v>49</v>
      </c>
      <c r="D306" s="131" t="s">
        <v>50</v>
      </c>
      <c r="E306" s="131" t="s">
        <v>51</v>
      </c>
      <c r="F306" s="131" t="s">
        <v>52</v>
      </c>
      <c r="G306" s="131" t="s">
        <v>10</v>
      </c>
      <c r="H306" s="131" t="s">
        <v>11</v>
      </c>
      <c r="I306" s="131" t="s">
        <v>12</v>
      </c>
      <c r="J306" s="131" t="s">
        <v>13</v>
      </c>
      <c r="K306" s="141" t="s">
        <v>53</v>
      </c>
      <c r="L306" s="383"/>
    </row>
    <row r="307" ht="15.75" customHeight="1">
      <c r="A307" s="80" t="s">
        <v>54</v>
      </c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35"/>
    </row>
    <row r="308" ht="15.75" customHeight="1">
      <c r="A308" s="80" t="s">
        <v>55</v>
      </c>
      <c r="B308" s="118"/>
      <c r="C308" s="118">
        <f>1</f>
        <v>1</v>
      </c>
      <c r="D308" s="118"/>
      <c r="E308" s="118"/>
      <c r="F308" s="118"/>
      <c r="G308" s="118"/>
      <c r="H308" s="118"/>
      <c r="I308" s="118"/>
      <c r="J308" s="118"/>
      <c r="K308" s="118"/>
      <c r="L308" s="372">
        <f>SUM(K307:K308)</f>
        <v>0</v>
      </c>
    </row>
    <row r="309" ht="15.75" customHeight="1"/>
    <row r="310" ht="15.75" customHeight="1">
      <c r="A310" s="79" t="s">
        <v>206</v>
      </c>
      <c r="B310" s="54"/>
      <c r="C310" s="54"/>
      <c r="D310" s="54"/>
      <c r="E310" s="54"/>
      <c r="F310" s="54"/>
      <c r="G310" s="54"/>
      <c r="H310" s="54"/>
      <c r="I310" s="54"/>
      <c r="J310" s="54"/>
      <c r="K310" s="70"/>
      <c r="L310" s="391" t="s">
        <v>53</v>
      </c>
    </row>
    <row r="311" ht="15.75" customHeight="1">
      <c r="A311" s="130"/>
      <c r="B311" s="114" t="s">
        <v>3</v>
      </c>
      <c r="C311" s="54"/>
      <c r="D311" s="54"/>
      <c r="E311" s="54"/>
      <c r="F311" s="54"/>
      <c r="G311" s="54"/>
      <c r="H311" s="54"/>
      <c r="I311" s="54"/>
      <c r="J311" s="70"/>
      <c r="K311" s="130"/>
      <c r="L311" s="383"/>
    </row>
    <row r="312" ht="15.75" customHeight="1">
      <c r="A312" s="80" t="s">
        <v>93</v>
      </c>
      <c r="B312" s="118">
        <v>28.0</v>
      </c>
      <c r="C312" s="118">
        <v>30.0</v>
      </c>
      <c r="D312" s="118">
        <v>32.0</v>
      </c>
      <c r="E312" s="118">
        <v>34.0</v>
      </c>
      <c r="F312" s="118">
        <v>36.0</v>
      </c>
      <c r="G312" s="118">
        <v>38.0</v>
      </c>
      <c r="H312" s="118">
        <v>40.0</v>
      </c>
      <c r="I312" s="118"/>
      <c r="J312" s="118"/>
      <c r="K312" s="130"/>
      <c r="L312" s="383"/>
    </row>
    <row r="313" ht="15.75" customHeight="1">
      <c r="A313" s="80"/>
      <c r="B313" s="131" t="s">
        <v>5</v>
      </c>
      <c r="C313" s="131" t="s">
        <v>49</v>
      </c>
      <c r="D313" s="131" t="s">
        <v>50</v>
      </c>
      <c r="E313" s="131" t="s">
        <v>51</v>
      </c>
      <c r="F313" s="131" t="s">
        <v>52</v>
      </c>
      <c r="G313" s="131" t="s">
        <v>10</v>
      </c>
      <c r="H313" s="131" t="s">
        <v>11</v>
      </c>
      <c r="I313" s="131" t="s">
        <v>12</v>
      </c>
      <c r="J313" s="131" t="s">
        <v>13</v>
      </c>
      <c r="K313" s="117" t="s">
        <v>53</v>
      </c>
      <c r="L313" s="383"/>
    </row>
    <row r="314" ht="15.75" customHeight="1">
      <c r="A314" s="80" t="s">
        <v>54</v>
      </c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35"/>
    </row>
    <row r="315" ht="15.75" customHeight="1">
      <c r="A315" s="80" t="s">
        <v>55</v>
      </c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372">
        <f>SUM(K314:K315)</f>
        <v>0</v>
      </c>
    </row>
    <row r="316" ht="15.75" customHeight="1">
      <c r="A316" s="120"/>
      <c r="B316" s="120"/>
      <c r="C316" s="127"/>
      <c r="D316" s="120"/>
      <c r="E316" s="120"/>
      <c r="F316" s="120"/>
      <c r="G316" s="120"/>
      <c r="H316" s="120"/>
      <c r="I316" s="120"/>
      <c r="J316" s="120"/>
      <c r="K316" s="120"/>
      <c r="L316" s="120"/>
    </row>
    <row r="317" ht="15.75" customHeight="1">
      <c r="L317" s="391" t="s">
        <v>53</v>
      </c>
    </row>
    <row r="318" ht="15.75" customHeight="1">
      <c r="A318" s="123" t="s">
        <v>75</v>
      </c>
      <c r="B318" s="54"/>
      <c r="C318" s="54"/>
      <c r="D318" s="54"/>
      <c r="E318" s="54"/>
      <c r="F318" s="54"/>
      <c r="G318" s="54"/>
      <c r="H318" s="54"/>
      <c r="I318" s="54"/>
      <c r="J318" s="54"/>
      <c r="K318" s="101"/>
      <c r="L318" s="383"/>
    </row>
    <row r="319" ht="15.75" customHeight="1">
      <c r="A319" s="130"/>
      <c r="B319" s="114" t="s">
        <v>3</v>
      </c>
      <c r="C319" s="54"/>
      <c r="D319" s="54"/>
      <c r="E319" s="54"/>
      <c r="F319" s="54"/>
      <c r="G319" s="54"/>
      <c r="H319" s="54"/>
      <c r="I319" s="54"/>
      <c r="J319" s="70"/>
      <c r="K319" s="387"/>
      <c r="L319" s="383"/>
    </row>
    <row r="320" ht="15.75" customHeight="1">
      <c r="A320" s="80" t="s">
        <v>93</v>
      </c>
      <c r="B320" s="118">
        <v>28.0</v>
      </c>
      <c r="C320" s="118">
        <v>30.0</v>
      </c>
      <c r="D320" s="118">
        <v>32.0</v>
      </c>
      <c r="E320" s="118">
        <v>34.0</v>
      </c>
      <c r="F320" s="118">
        <v>36.0</v>
      </c>
      <c r="G320" s="118">
        <v>38.0</v>
      </c>
      <c r="H320" s="118">
        <v>40.0</v>
      </c>
      <c r="I320" s="118"/>
      <c r="J320" s="118"/>
      <c r="K320" s="387"/>
      <c r="L320" s="383"/>
    </row>
    <row r="321" ht="15.75" customHeight="1">
      <c r="A321" s="80"/>
      <c r="B321" s="131" t="s">
        <v>5</v>
      </c>
      <c r="C321" s="131" t="s">
        <v>49</v>
      </c>
      <c r="D321" s="131" t="s">
        <v>50</v>
      </c>
      <c r="E321" s="131" t="s">
        <v>51</v>
      </c>
      <c r="F321" s="131" t="s">
        <v>52</v>
      </c>
      <c r="G321" s="131" t="s">
        <v>10</v>
      </c>
      <c r="H321" s="131" t="s">
        <v>11</v>
      </c>
      <c r="I321" s="131" t="s">
        <v>12</v>
      </c>
      <c r="J321" s="131" t="s">
        <v>13</v>
      </c>
      <c r="K321" s="141" t="s">
        <v>53</v>
      </c>
      <c r="L321" s="135"/>
    </row>
    <row r="322" ht="15.75" customHeight="1">
      <c r="A322" s="80" t="s">
        <v>54</v>
      </c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372">
        <f>SUM(K322)</f>
        <v>0</v>
      </c>
    </row>
    <row r="323" ht="15.75" customHeight="1"/>
    <row r="324" ht="15.75" customHeight="1"/>
    <row r="325" ht="15.75" customHeight="1"/>
    <row r="326" ht="15.75" customHeight="1">
      <c r="A326" s="384"/>
      <c r="B326" s="384"/>
      <c r="C326" s="384"/>
      <c r="D326" s="384"/>
      <c r="E326" s="384"/>
      <c r="F326" s="384"/>
      <c r="G326" s="384"/>
      <c r="H326" s="384"/>
      <c r="I326" s="384"/>
      <c r="J326" s="384"/>
      <c r="K326" s="384"/>
      <c r="L326" s="384"/>
    </row>
    <row r="327" ht="15.75" customHeight="1">
      <c r="A327" s="384"/>
      <c r="B327" s="384"/>
      <c r="C327" s="384"/>
      <c r="D327" s="384"/>
      <c r="E327" s="384"/>
      <c r="F327" s="384"/>
      <c r="G327" s="384"/>
      <c r="H327" s="384"/>
      <c r="I327" s="384"/>
      <c r="J327" s="384"/>
      <c r="K327" s="384"/>
      <c r="L327" s="384"/>
    </row>
    <row r="328" ht="15.75" customHeight="1">
      <c r="A328" s="384"/>
      <c r="B328" s="384"/>
      <c r="C328" s="384"/>
      <c r="D328" s="384"/>
      <c r="E328" s="384"/>
      <c r="F328" s="384"/>
      <c r="G328" s="384"/>
      <c r="H328" s="384"/>
      <c r="I328" s="384"/>
      <c r="J328" s="384"/>
      <c r="K328" s="384"/>
      <c r="L328" s="384"/>
    </row>
    <row r="329" ht="15.75" customHeight="1">
      <c r="A329" s="384"/>
      <c r="B329" s="384"/>
      <c r="C329" s="384"/>
      <c r="D329" s="384"/>
      <c r="E329" s="384"/>
      <c r="F329" s="384"/>
      <c r="G329" s="384"/>
      <c r="H329" s="384"/>
      <c r="I329" s="384"/>
      <c r="J329" s="384"/>
      <c r="K329" s="384"/>
      <c r="L329" s="384"/>
    </row>
    <row r="330" ht="15.75" customHeight="1"/>
    <row r="331" ht="15.75" customHeight="1"/>
    <row r="332" ht="15.75" customHeight="1">
      <c r="A332" s="156" t="s">
        <v>77</v>
      </c>
      <c r="B332" s="54"/>
      <c r="C332" s="54"/>
      <c r="D332" s="54"/>
      <c r="E332" s="54"/>
      <c r="F332" s="54"/>
      <c r="G332" s="54"/>
      <c r="H332" s="54"/>
      <c r="I332" s="54"/>
      <c r="J332" s="54"/>
      <c r="K332" s="70"/>
    </row>
    <row r="333" ht="15.75" customHeight="1">
      <c r="A333" s="284"/>
      <c r="B333" s="81" t="s">
        <v>207</v>
      </c>
      <c r="C333" s="54"/>
      <c r="D333" s="54"/>
      <c r="E333" s="54"/>
      <c r="F333" s="54"/>
      <c r="G333" s="54"/>
      <c r="H333" s="54"/>
      <c r="I333" s="54"/>
      <c r="J333" s="70"/>
      <c r="K333" s="149"/>
    </row>
    <row r="334" ht="15.75" customHeight="1">
      <c r="A334" s="284" t="s">
        <v>93</v>
      </c>
      <c r="B334" s="118">
        <v>28.0</v>
      </c>
      <c r="C334" s="118">
        <v>30.0</v>
      </c>
      <c r="D334" s="118">
        <v>32.0</v>
      </c>
      <c r="E334" s="118">
        <v>34.0</v>
      </c>
      <c r="F334" s="118">
        <v>36.0</v>
      </c>
      <c r="G334" s="118">
        <v>38.0</v>
      </c>
      <c r="H334" s="118">
        <v>40.0</v>
      </c>
      <c r="I334" s="329" t="s">
        <v>125</v>
      </c>
      <c r="J334" s="341"/>
      <c r="K334" s="149"/>
    </row>
    <row r="335" ht="15.75" customHeight="1">
      <c r="A335" s="284"/>
      <c r="B335" s="131" t="s">
        <v>5</v>
      </c>
      <c r="C335" s="131" t="s">
        <v>49</v>
      </c>
      <c r="D335" s="131" t="s">
        <v>50</v>
      </c>
      <c r="E335" s="131" t="s">
        <v>51</v>
      </c>
      <c r="F335" s="131" t="s">
        <v>52</v>
      </c>
      <c r="G335" s="131" t="s">
        <v>10</v>
      </c>
      <c r="H335" s="131" t="s">
        <v>11</v>
      </c>
      <c r="I335" s="131" t="s">
        <v>12</v>
      </c>
      <c r="J335" s="342" t="s">
        <v>13</v>
      </c>
      <c r="K335" s="117" t="s">
        <v>53</v>
      </c>
    </row>
    <row r="336" ht="15.75" customHeight="1">
      <c r="A336" s="284" t="s">
        <v>28</v>
      </c>
      <c r="B336" s="118"/>
      <c r="C336" s="118"/>
      <c r="D336" s="118"/>
      <c r="E336" s="118"/>
      <c r="F336" s="118"/>
      <c r="G336" s="118"/>
      <c r="H336" s="118"/>
      <c r="I336" s="397">
        <v>1.0</v>
      </c>
      <c r="J336" s="341"/>
      <c r="K336" s="151">
        <f t="shared" ref="K336:K341" si="33">SUM(B336:J336)</f>
        <v>1</v>
      </c>
    </row>
    <row r="337" ht="15.75" customHeight="1">
      <c r="A337" s="284" t="s">
        <v>23</v>
      </c>
      <c r="B337" s="118"/>
      <c r="C337" s="118"/>
      <c r="D337" s="118"/>
      <c r="E337" s="118"/>
      <c r="F337" s="118"/>
      <c r="G337" s="118"/>
      <c r="H337" s="118"/>
      <c r="I337" s="397"/>
      <c r="J337" s="341"/>
      <c r="K337" s="151">
        <f t="shared" si="33"/>
        <v>0</v>
      </c>
    </row>
    <row r="338" ht="15.75" customHeight="1">
      <c r="A338" s="284" t="s">
        <v>80</v>
      </c>
      <c r="B338" s="118"/>
      <c r="C338" s="118"/>
      <c r="D338" s="118"/>
      <c r="E338" s="118"/>
      <c r="F338" s="118"/>
      <c r="G338" s="118"/>
      <c r="H338" s="118"/>
      <c r="I338" s="397"/>
      <c r="J338" s="341"/>
      <c r="K338" s="151">
        <f t="shared" si="33"/>
        <v>0</v>
      </c>
    </row>
    <row r="339" ht="15.75" customHeight="1">
      <c r="A339" s="284" t="s">
        <v>15</v>
      </c>
      <c r="B339" s="118"/>
      <c r="C339" s="118"/>
      <c r="D339" s="118"/>
      <c r="E339" s="118"/>
      <c r="F339" s="118"/>
      <c r="G339" s="118"/>
      <c r="H339" s="118"/>
      <c r="I339" s="397"/>
      <c r="J339" s="341"/>
      <c r="K339" s="151">
        <f t="shared" si="33"/>
        <v>0</v>
      </c>
    </row>
    <row r="340" ht="15.75" customHeight="1">
      <c r="A340" s="154" t="s">
        <v>81</v>
      </c>
      <c r="B340" s="118"/>
      <c r="C340" s="118"/>
      <c r="D340" s="118"/>
      <c r="E340" s="118"/>
      <c r="F340" s="118"/>
      <c r="G340" s="118"/>
      <c r="H340" s="118"/>
      <c r="I340" s="397"/>
      <c r="J340" s="341"/>
      <c r="K340" s="151">
        <f t="shared" si="33"/>
        <v>0</v>
      </c>
    </row>
    <row r="341" ht="15.75" customHeight="1">
      <c r="A341" s="154" t="s">
        <v>17</v>
      </c>
      <c r="B341" s="118"/>
      <c r="C341" s="118"/>
      <c r="D341" s="118"/>
      <c r="E341" s="118"/>
      <c r="F341" s="118"/>
      <c r="G341" s="118"/>
      <c r="H341" s="118"/>
      <c r="I341" s="397"/>
      <c r="J341" s="341"/>
      <c r="K341" s="151">
        <f t="shared" si="33"/>
        <v>0</v>
      </c>
    </row>
    <row r="342" ht="15.75" customHeight="1">
      <c r="A342" s="154" t="s">
        <v>59</v>
      </c>
      <c r="B342" s="118"/>
      <c r="C342" s="118"/>
      <c r="D342" s="118"/>
      <c r="E342" s="118"/>
      <c r="F342" s="118"/>
      <c r="G342" s="118"/>
      <c r="H342" s="118"/>
      <c r="I342" s="397"/>
      <c r="J342" s="118"/>
      <c r="K342" s="151"/>
    </row>
    <row r="343" ht="15.75" customHeight="1">
      <c r="A343" s="154" t="s">
        <v>82</v>
      </c>
      <c r="B343" s="118"/>
      <c r="C343" s="118"/>
      <c r="D343" s="118"/>
      <c r="E343" s="118"/>
      <c r="F343" s="118"/>
      <c r="G343" s="118"/>
      <c r="H343" s="118"/>
      <c r="I343" s="397"/>
      <c r="J343" s="341"/>
      <c r="K343" s="151">
        <f t="shared" ref="K343:K346" si="34">SUM(B343:J343)</f>
        <v>0</v>
      </c>
    </row>
    <row r="344" ht="15.75" customHeight="1">
      <c r="A344" s="154" t="s">
        <v>83</v>
      </c>
      <c r="B344" s="118"/>
      <c r="C344" s="118"/>
      <c r="D344" s="118"/>
      <c r="E344" s="118"/>
      <c r="F344" s="118"/>
      <c r="G344" s="118"/>
      <c r="H344" s="118"/>
      <c r="I344" s="397"/>
      <c r="J344" s="341"/>
      <c r="K344" s="151">
        <f t="shared" si="34"/>
        <v>0</v>
      </c>
    </row>
    <row r="345" ht="15.75" customHeight="1">
      <c r="A345" s="154" t="s">
        <v>84</v>
      </c>
      <c r="B345" s="118"/>
      <c r="C345" s="118"/>
      <c r="D345" s="118"/>
      <c r="E345" s="118"/>
      <c r="F345" s="118"/>
      <c r="G345" s="118"/>
      <c r="H345" s="118"/>
      <c r="I345" s="397"/>
      <c r="J345" s="341"/>
      <c r="K345" s="151">
        <f t="shared" si="34"/>
        <v>0</v>
      </c>
    </row>
    <row r="346" ht="15.75" customHeight="1">
      <c r="A346" s="80" t="s">
        <v>18</v>
      </c>
      <c r="B346" s="118"/>
      <c r="C346" s="118"/>
      <c r="D346" s="118"/>
      <c r="E346" s="118"/>
      <c r="F346" s="118"/>
      <c r="G346" s="118"/>
      <c r="H346" s="118"/>
      <c r="I346" s="397"/>
      <c r="J346" s="341"/>
      <c r="K346" s="151">
        <f t="shared" si="34"/>
        <v>0</v>
      </c>
    </row>
    <row r="347" ht="15.75" customHeight="1">
      <c r="A347" s="8"/>
      <c r="B347" s="127"/>
      <c r="C347" s="127"/>
      <c r="D347" s="127"/>
      <c r="E347" s="127"/>
      <c r="F347" s="127"/>
      <c r="G347" s="127"/>
      <c r="H347" s="127"/>
      <c r="I347" s="127"/>
      <c r="J347" s="127"/>
      <c r="K347" s="372">
        <f>SUM(K336:K346)</f>
        <v>1</v>
      </c>
    </row>
    <row r="348" ht="15.75" customHeight="1"/>
    <row r="349" ht="15.75" customHeight="1">
      <c r="A349" s="156" t="s">
        <v>77</v>
      </c>
      <c r="B349" s="54"/>
      <c r="C349" s="54"/>
      <c r="D349" s="54"/>
      <c r="E349" s="54"/>
      <c r="F349" s="54"/>
      <c r="G349" s="54"/>
      <c r="H349" s="54"/>
      <c r="I349" s="54"/>
      <c r="J349" s="54"/>
      <c r="K349" s="70"/>
    </row>
    <row r="350" ht="15.75" customHeight="1">
      <c r="A350" s="284"/>
      <c r="B350" s="114" t="s">
        <v>85</v>
      </c>
      <c r="C350" s="54"/>
      <c r="D350" s="54"/>
      <c r="E350" s="54"/>
      <c r="F350" s="54"/>
      <c r="G350" s="54"/>
      <c r="H350" s="54"/>
      <c r="I350" s="54"/>
      <c r="J350" s="70"/>
      <c r="K350" s="149"/>
    </row>
    <row r="351" ht="15.75" customHeight="1">
      <c r="A351" s="284" t="s">
        <v>93</v>
      </c>
      <c r="B351" s="118">
        <v>28.0</v>
      </c>
      <c r="C351" s="118">
        <v>30.0</v>
      </c>
      <c r="D351" s="118">
        <v>32.0</v>
      </c>
      <c r="E351" s="118">
        <v>34.0</v>
      </c>
      <c r="F351" s="118">
        <v>36.0</v>
      </c>
      <c r="G351" s="118">
        <v>38.0</v>
      </c>
      <c r="H351" s="118">
        <v>40.0</v>
      </c>
      <c r="I351" s="118"/>
      <c r="J351" s="341"/>
      <c r="K351" s="149"/>
    </row>
    <row r="352" ht="15.75" customHeight="1">
      <c r="A352" s="284"/>
      <c r="B352" s="131" t="s">
        <v>5</v>
      </c>
      <c r="C352" s="131" t="s">
        <v>49</v>
      </c>
      <c r="D352" s="131" t="s">
        <v>50</v>
      </c>
      <c r="E352" s="131" t="s">
        <v>51</v>
      </c>
      <c r="F352" s="131" t="s">
        <v>52</v>
      </c>
      <c r="G352" s="131" t="s">
        <v>10</v>
      </c>
      <c r="H352" s="131" t="s">
        <v>11</v>
      </c>
      <c r="I352" s="131" t="s">
        <v>12</v>
      </c>
      <c r="J352" s="342" t="s">
        <v>13</v>
      </c>
      <c r="K352" s="117" t="s">
        <v>53</v>
      </c>
    </row>
    <row r="353" ht="15.75" customHeight="1">
      <c r="A353" s="154" t="s">
        <v>23</v>
      </c>
      <c r="B353" s="118"/>
      <c r="C353" s="118"/>
      <c r="D353" s="118"/>
      <c r="E353" s="118"/>
      <c r="F353" s="118"/>
      <c r="G353" s="118">
        <f>1-1</f>
        <v>0</v>
      </c>
      <c r="H353" s="118">
        <f>1</f>
        <v>1</v>
      </c>
      <c r="I353" s="118"/>
      <c r="J353" s="118"/>
      <c r="K353" s="151"/>
    </row>
    <row r="354" ht="15.75" customHeight="1">
      <c r="A354" s="154" t="s">
        <v>15</v>
      </c>
      <c r="B354" s="118"/>
      <c r="C354" s="118"/>
      <c r="D354" s="118"/>
      <c r="E354" s="118"/>
      <c r="F354" s="118"/>
      <c r="G354" s="119"/>
      <c r="H354" s="118"/>
      <c r="I354" s="118"/>
      <c r="J354" s="118"/>
      <c r="K354" s="151"/>
    </row>
    <row r="355" ht="15.75" customHeight="1">
      <c r="A355" s="80" t="s">
        <v>28</v>
      </c>
      <c r="B355" s="118"/>
      <c r="C355" s="118"/>
      <c r="D355" s="118"/>
      <c r="E355" s="118"/>
      <c r="F355" s="118"/>
      <c r="G355" s="118"/>
      <c r="H355" s="119"/>
      <c r="I355" s="118"/>
      <c r="J355" s="118"/>
      <c r="K355" s="151"/>
    </row>
    <row r="356" ht="15.75" customHeight="1">
      <c r="A356" s="8"/>
      <c r="B356" s="127"/>
      <c r="C356" s="127"/>
      <c r="D356" s="127"/>
      <c r="E356" s="127"/>
      <c r="F356" s="127"/>
      <c r="G356" s="127"/>
      <c r="H356" s="127"/>
      <c r="I356" s="127"/>
      <c r="J356" s="127"/>
      <c r="K356" s="372">
        <f>SUM(K353:K355)</f>
        <v>0</v>
      </c>
    </row>
    <row r="357" ht="15.75" customHeight="1"/>
    <row r="358" ht="15.75" customHeight="1"/>
    <row r="359" ht="15.75" customHeight="1"/>
    <row r="360" ht="15.75" customHeight="1">
      <c r="A360" s="156" t="s">
        <v>77</v>
      </c>
      <c r="B360" s="54"/>
      <c r="C360" s="54"/>
      <c r="D360" s="54"/>
      <c r="E360" s="54"/>
      <c r="F360" s="54"/>
      <c r="G360" s="54"/>
      <c r="H360" s="54"/>
      <c r="I360" s="54"/>
      <c r="J360" s="54"/>
      <c r="K360" s="70"/>
    </row>
    <row r="361" ht="15.75" customHeight="1">
      <c r="A361" s="284"/>
      <c r="B361" s="114" t="s">
        <v>87</v>
      </c>
      <c r="C361" s="54"/>
      <c r="D361" s="54"/>
      <c r="E361" s="54"/>
      <c r="F361" s="54"/>
      <c r="G361" s="54"/>
      <c r="H361" s="54"/>
      <c r="I361" s="54"/>
      <c r="J361" s="70"/>
      <c r="K361" s="149"/>
    </row>
    <row r="362" ht="15.75" customHeight="1">
      <c r="A362" s="284" t="s">
        <v>93</v>
      </c>
      <c r="B362" s="118">
        <v>28.0</v>
      </c>
      <c r="C362" s="118">
        <v>30.0</v>
      </c>
      <c r="D362" s="118">
        <v>32.0</v>
      </c>
      <c r="E362" s="118">
        <v>34.0</v>
      </c>
      <c r="F362" s="118">
        <v>36.0</v>
      </c>
      <c r="G362" s="118">
        <v>38.0</v>
      </c>
      <c r="H362" s="118">
        <v>40.0</v>
      </c>
      <c r="I362" s="329" t="s">
        <v>125</v>
      </c>
      <c r="J362" s="341"/>
      <c r="K362" s="149"/>
    </row>
    <row r="363" ht="15.75" customHeight="1">
      <c r="A363" s="284"/>
      <c r="B363" s="131" t="s">
        <v>5</v>
      </c>
      <c r="C363" s="131" t="s">
        <v>49</v>
      </c>
      <c r="D363" s="131" t="s">
        <v>50</v>
      </c>
      <c r="E363" s="131" t="s">
        <v>51</v>
      </c>
      <c r="F363" s="131" t="s">
        <v>52</v>
      </c>
      <c r="G363" s="131" t="s">
        <v>10</v>
      </c>
      <c r="H363" s="131" t="s">
        <v>11</v>
      </c>
      <c r="I363" s="131" t="s">
        <v>12</v>
      </c>
      <c r="J363" s="342" t="s">
        <v>13</v>
      </c>
      <c r="K363" s="117" t="s">
        <v>53</v>
      </c>
    </row>
    <row r="364" ht="15.75" customHeight="1">
      <c r="A364" s="154" t="s">
        <v>23</v>
      </c>
      <c r="B364" s="118"/>
      <c r="C364" s="118"/>
      <c r="D364" s="118"/>
      <c r="E364" s="118"/>
      <c r="F364" s="118"/>
      <c r="G364" s="118"/>
      <c r="H364" s="118"/>
      <c r="I364" s="118"/>
      <c r="J364" s="118"/>
      <c r="K364" s="151">
        <f>1</f>
        <v>1</v>
      </c>
    </row>
    <row r="365" ht="18.0" customHeight="1">
      <c r="A365" s="80" t="s">
        <v>28</v>
      </c>
      <c r="B365" s="118"/>
      <c r="C365" s="118"/>
      <c r="D365" s="118"/>
      <c r="E365" s="118"/>
      <c r="F365" s="118"/>
      <c r="G365" s="118"/>
      <c r="H365" s="118"/>
      <c r="I365" s="118"/>
      <c r="J365" s="118"/>
      <c r="K365" s="151"/>
    </row>
    <row r="366" ht="15.75" customHeight="1">
      <c r="A366" s="8"/>
      <c r="B366" s="127"/>
      <c r="C366" s="127"/>
      <c r="D366" s="127"/>
      <c r="E366" s="127"/>
      <c r="F366" s="127"/>
      <c r="G366" s="127"/>
      <c r="H366" s="127"/>
      <c r="I366" s="127"/>
      <c r="J366" s="127"/>
      <c r="K366" s="372">
        <f>SUM(K364:K365)</f>
        <v>1</v>
      </c>
    </row>
    <row r="367" ht="15.75" customHeight="1"/>
    <row r="368" ht="15.75" customHeight="1"/>
    <row r="369" ht="15.75" customHeight="1"/>
    <row r="370" ht="15.75" customHeight="1">
      <c r="A370" s="156" t="s">
        <v>77</v>
      </c>
      <c r="B370" s="54"/>
      <c r="C370" s="54"/>
      <c r="D370" s="54"/>
      <c r="E370" s="54"/>
      <c r="F370" s="54"/>
      <c r="G370" s="54"/>
      <c r="H370" s="54"/>
      <c r="I370" s="54"/>
      <c r="J370" s="54"/>
      <c r="K370" s="70"/>
    </row>
    <row r="371" ht="15.75" customHeight="1">
      <c r="A371" s="284"/>
      <c r="B371" s="114" t="s">
        <v>115</v>
      </c>
      <c r="C371" s="54"/>
      <c r="D371" s="54"/>
      <c r="E371" s="54"/>
      <c r="F371" s="54"/>
      <c r="G371" s="54"/>
      <c r="H371" s="54"/>
      <c r="I371" s="54"/>
      <c r="J371" s="70"/>
      <c r="K371" s="157"/>
    </row>
    <row r="372" ht="15.75" customHeight="1">
      <c r="A372" s="284" t="s">
        <v>93</v>
      </c>
      <c r="B372" s="118">
        <v>28.0</v>
      </c>
      <c r="C372" s="118">
        <v>30.0</v>
      </c>
      <c r="D372" s="118">
        <v>32.0</v>
      </c>
      <c r="E372" s="118">
        <v>34.0</v>
      </c>
      <c r="F372" s="118">
        <v>36.0</v>
      </c>
      <c r="G372" s="118">
        <v>38.0</v>
      </c>
      <c r="H372" s="118">
        <v>40.0</v>
      </c>
      <c r="I372" s="118"/>
      <c r="J372" s="341"/>
      <c r="K372" s="157"/>
    </row>
    <row r="373" ht="15.75" customHeight="1">
      <c r="A373" s="284"/>
      <c r="B373" s="131" t="s">
        <v>5</v>
      </c>
      <c r="C373" s="131" t="s">
        <v>49</v>
      </c>
      <c r="D373" s="131" t="s">
        <v>50</v>
      </c>
      <c r="E373" s="131" t="s">
        <v>51</v>
      </c>
      <c r="F373" s="131" t="s">
        <v>52</v>
      </c>
      <c r="G373" s="131" t="s">
        <v>10</v>
      </c>
      <c r="H373" s="131" t="s">
        <v>11</v>
      </c>
      <c r="I373" s="131" t="s">
        <v>12</v>
      </c>
      <c r="J373" s="342" t="s">
        <v>13</v>
      </c>
      <c r="K373" s="314" t="s">
        <v>53</v>
      </c>
    </row>
    <row r="374" ht="15.75" customHeight="1">
      <c r="A374" s="154" t="s">
        <v>114</v>
      </c>
      <c r="B374" s="118">
        <f>1</f>
        <v>1</v>
      </c>
      <c r="C374" s="118"/>
      <c r="D374" s="118"/>
      <c r="E374" s="118"/>
      <c r="F374" s="118"/>
      <c r="G374" s="118"/>
      <c r="H374" s="118"/>
      <c r="I374" s="118"/>
      <c r="J374" s="118"/>
      <c r="K374" s="157">
        <f>SUM(B374:J374)</f>
        <v>1</v>
      </c>
    </row>
    <row r="375" ht="15.75" customHeight="1">
      <c r="A375" s="8"/>
      <c r="B375" s="127"/>
      <c r="C375" s="127"/>
      <c r="D375" s="127"/>
      <c r="E375" s="127"/>
      <c r="F375" s="127"/>
      <c r="G375" s="127"/>
      <c r="H375" s="127"/>
      <c r="I375" s="127"/>
      <c r="J375" s="127" t="s">
        <v>45</v>
      </c>
      <c r="K375" s="329">
        <f>SUM(K374)</f>
        <v>1</v>
      </c>
    </row>
    <row r="376" ht="15.75" customHeight="1"/>
    <row r="377" ht="15.75" customHeight="1">
      <c r="K377" s="370"/>
    </row>
    <row r="378" ht="15.75" customHeight="1">
      <c r="A378" s="398" t="s">
        <v>129</v>
      </c>
      <c r="B378" s="54"/>
      <c r="C378" s="54"/>
      <c r="D378" s="54"/>
      <c r="E378" s="54"/>
      <c r="F378" s="54"/>
      <c r="G378" s="54"/>
      <c r="H378" s="54"/>
      <c r="I378" s="54"/>
      <c r="J378" s="54"/>
      <c r="K378" s="70"/>
    </row>
    <row r="379" ht="15.75" customHeight="1">
      <c r="B379" s="131" t="s">
        <v>5</v>
      </c>
      <c r="C379" s="131" t="s">
        <v>49</v>
      </c>
      <c r="D379" s="131" t="s">
        <v>50</v>
      </c>
      <c r="E379" s="131" t="s">
        <v>51</v>
      </c>
      <c r="F379" s="131" t="s">
        <v>52</v>
      </c>
      <c r="G379" s="131" t="s">
        <v>10</v>
      </c>
      <c r="H379" s="131" t="s">
        <v>11</v>
      </c>
      <c r="I379" s="131" t="s">
        <v>12</v>
      </c>
      <c r="J379" s="342" t="s">
        <v>13</v>
      </c>
      <c r="K379" s="314" t="s">
        <v>53</v>
      </c>
    </row>
    <row r="380" ht="15.75" customHeight="1">
      <c r="B380" s="118">
        <f>0+B381</f>
        <v>0</v>
      </c>
      <c r="C380" s="118">
        <f t="shared" ref="C380:D380" si="35">0</f>
        <v>0</v>
      </c>
      <c r="D380" s="118">
        <f t="shared" si="35"/>
        <v>0</v>
      </c>
      <c r="E380" s="118">
        <f>0+1+1</f>
        <v>2</v>
      </c>
      <c r="F380" s="118">
        <f t="shared" ref="F380:J380" si="36">0</f>
        <v>0</v>
      </c>
      <c r="G380" s="118">
        <f t="shared" si="36"/>
        <v>0</v>
      </c>
      <c r="H380" s="118">
        <f t="shared" si="36"/>
        <v>0</v>
      </c>
      <c r="I380" s="118">
        <f t="shared" si="36"/>
        <v>0</v>
      </c>
      <c r="J380" s="118">
        <f t="shared" si="36"/>
        <v>0</v>
      </c>
      <c r="K380" s="375">
        <f>SUM(B380:J380)</f>
        <v>2</v>
      </c>
    </row>
    <row r="381" ht="15.75" customHeight="1">
      <c r="K381" s="370"/>
    </row>
    <row r="382" ht="15.75" customHeight="1">
      <c r="A382" s="398" t="s">
        <v>130</v>
      </c>
      <c r="B382" s="54"/>
      <c r="C382" s="54"/>
      <c r="D382" s="54"/>
      <c r="E382" s="54"/>
      <c r="F382" s="54"/>
      <c r="G382" s="54"/>
      <c r="H382" s="54"/>
      <c r="I382" s="54"/>
      <c r="J382" s="54"/>
      <c r="K382" s="70"/>
    </row>
    <row r="383" ht="15.75" customHeight="1">
      <c r="B383" s="131" t="s">
        <v>5</v>
      </c>
      <c r="C383" s="131" t="s">
        <v>49</v>
      </c>
      <c r="D383" s="131" t="s">
        <v>50</v>
      </c>
      <c r="E383" s="131" t="s">
        <v>51</v>
      </c>
      <c r="F383" s="131" t="s">
        <v>52</v>
      </c>
      <c r="G383" s="131" t="s">
        <v>10</v>
      </c>
      <c r="H383" s="131" t="s">
        <v>11</v>
      </c>
      <c r="I383" s="131" t="s">
        <v>12</v>
      </c>
      <c r="J383" s="342" t="s">
        <v>13</v>
      </c>
      <c r="K383" s="314" t="s">
        <v>53</v>
      </c>
    </row>
    <row r="384" ht="15.75" customHeight="1">
      <c r="B384" s="118">
        <f>0+1</f>
        <v>1</v>
      </c>
      <c r="C384" s="118">
        <f>0</f>
        <v>0</v>
      </c>
      <c r="D384" s="118">
        <f>0+1-1</f>
        <v>0</v>
      </c>
      <c r="E384" s="118">
        <f>0+1-1</f>
        <v>0</v>
      </c>
      <c r="F384" s="118">
        <f t="shared" ref="F384:I384" si="37">0</f>
        <v>0</v>
      </c>
      <c r="G384" s="118">
        <f t="shared" si="37"/>
        <v>0</v>
      </c>
      <c r="H384" s="118">
        <f t="shared" si="37"/>
        <v>0</v>
      </c>
      <c r="I384" s="118">
        <f t="shared" si="37"/>
        <v>0</v>
      </c>
      <c r="J384" s="86"/>
      <c r="K384" s="375">
        <f>SUM(B384:J384)</f>
        <v>1</v>
      </c>
    </row>
    <row r="385" ht="15.75" customHeight="1"/>
    <row r="386" ht="15.75" customHeight="1">
      <c r="A386" s="277" t="s">
        <v>132</v>
      </c>
      <c r="B386" s="54"/>
      <c r="C386" s="54"/>
      <c r="D386" s="54"/>
      <c r="E386" s="54"/>
      <c r="F386" s="54"/>
      <c r="G386" s="54"/>
      <c r="H386" s="54"/>
      <c r="I386" s="54"/>
      <c r="J386" s="54"/>
      <c r="K386" s="70"/>
    </row>
    <row r="387" ht="15.75" customHeight="1">
      <c r="A387" s="265" t="s">
        <v>129</v>
      </c>
      <c r="B387" s="278">
        <v>2.0</v>
      </c>
      <c r="C387" s="256">
        <v>4.0</v>
      </c>
      <c r="D387" s="256">
        <v>6.0</v>
      </c>
      <c r="E387" s="256">
        <v>8.0</v>
      </c>
      <c r="F387" s="256">
        <v>10.0</v>
      </c>
      <c r="G387" s="256">
        <v>12.0</v>
      </c>
      <c r="H387" s="256">
        <v>14.0</v>
      </c>
      <c r="I387" s="256">
        <v>16.0</v>
      </c>
      <c r="J387" s="279">
        <v>18.0</v>
      </c>
      <c r="K387" s="267" t="s">
        <v>53</v>
      </c>
    </row>
    <row r="388" ht="15.75" customHeight="1">
      <c r="A388" s="135"/>
      <c r="B388" s="268">
        <f>8-1-2-1-2-1-1</f>
        <v>0</v>
      </c>
      <c r="C388" s="175">
        <f t="shared" ref="C388:E388" si="38">0</f>
        <v>0</v>
      </c>
      <c r="D388" s="188">
        <f t="shared" si="38"/>
        <v>0</v>
      </c>
      <c r="E388" s="188">
        <f t="shared" si="38"/>
        <v>0</v>
      </c>
      <c r="F388" s="175">
        <f>1</f>
        <v>1</v>
      </c>
      <c r="G388" s="175">
        <f>10-1-1-1-2-5</f>
        <v>0</v>
      </c>
      <c r="H388" s="175">
        <f>10-1-1+1-1-1-1+1-1-3-1-1-1</f>
        <v>0</v>
      </c>
      <c r="I388" s="175">
        <f>11-4-1-2-1-1-1-1</f>
        <v>0</v>
      </c>
      <c r="J388" s="248">
        <f>10-2-1-1-2-4+1</f>
        <v>1</v>
      </c>
      <c r="K388" s="269">
        <f>SUM(B388:J388)</f>
        <v>2</v>
      </c>
    </row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7">
    <mergeCell ref="A1:K1"/>
    <mergeCell ref="B2:J2"/>
    <mergeCell ref="A8:K8"/>
    <mergeCell ref="S8:AJ8"/>
    <mergeCell ref="B9:J9"/>
    <mergeCell ref="S9:AA9"/>
    <mergeCell ref="AB9:AJ9"/>
    <mergeCell ref="A26:K26"/>
    <mergeCell ref="B27:J27"/>
    <mergeCell ref="S38:AJ38"/>
    <mergeCell ref="S39:AA39"/>
    <mergeCell ref="AB39:AJ39"/>
    <mergeCell ref="A45:J45"/>
    <mergeCell ref="A46:K46"/>
    <mergeCell ref="B47:J47"/>
    <mergeCell ref="S50:AJ50"/>
    <mergeCell ref="S51:AA51"/>
    <mergeCell ref="A56:K56"/>
    <mergeCell ref="B57:J57"/>
    <mergeCell ref="AB59:AC59"/>
    <mergeCell ref="R65:AB65"/>
    <mergeCell ref="S66:AA66"/>
    <mergeCell ref="A67:K67"/>
    <mergeCell ref="B68:J68"/>
    <mergeCell ref="R73:AB73"/>
    <mergeCell ref="A74:K74"/>
    <mergeCell ref="S74:AA74"/>
    <mergeCell ref="B75:J75"/>
    <mergeCell ref="R81:AB81"/>
    <mergeCell ref="A82:K82"/>
    <mergeCell ref="S82:AA82"/>
    <mergeCell ref="B83:J83"/>
    <mergeCell ref="R89:AB89"/>
    <mergeCell ref="A92:K92"/>
    <mergeCell ref="B93:J93"/>
    <mergeCell ref="L141:L152"/>
    <mergeCell ref="L155:L168"/>
    <mergeCell ref="B156:J156"/>
    <mergeCell ref="A163:K163"/>
    <mergeCell ref="B164:J164"/>
    <mergeCell ref="A171:K171"/>
    <mergeCell ref="R143:AB143"/>
    <mergeCell ref="R156:AB156"/>
    <mergeCell ref="S157:AA157"/>
    <mergeCell ref="R168:AB168"/>
    <mergeCell ref="R169:R170"/>
    <mergeCell ref="S90:AA90"/>
    <mergeCell ref="R98:AB98"/>
    <mergeCell ref="S99:AA99"/>
    <mergeCell ref="R107:AB107"/>
    <mergeCell ref="R116:AB116"/>
    <mergeCell ref="R123:AB123"/>
    <mergeCell ref="R133:AB133"/>
    <mergeCell ref="B280:J280"/>
    <mergeCell ref="A286:K286"/>
    <mergeCell ref="A248:K248"/>
    <mergeCell ref="B249:J249"/>
    <mergeCell ref="A260:K260"/>
    <mergeCell ref="B261:J261"/>
    <mergeCell ref="A272:K272"/>
    <mergeCell ref="B273:J273"/>
    <mergeCell ref="A279:K279"/>
    <mergeCell ref="L286:L290"/>
    <mergeCell ref="L293:L300"/>
    <mergeCell ref="L303:L307"/>
    <mergeCell ref="L310:L314"/>
    <mergeCell ref="L317:L321"/>
    <mergeCell ref="L171:L192"/>
    <mergeCell ref="L195:L206"/>
    <mergeCell ref="L210:L214"/>
    <mergeCell ref="L218:L229"/>
    <mergeCell ref="L232:L245"/>
    <mergeCell ref="L248:L269"/>
    <mergeCell ref="L272:L283"/>
    <mergeCell ref="B361:J361"/>
    <mergeCell ref="A370:K370"/>
    <mergeCell ref="B371:J371"/>
    <mergeCell ref="A378:K378"/>
    <mergeCell ref="A382:K382"/>
    <mergeCell ref="A386:K386"/>
    <mergeCell ref="A387:A388"/>
    <mergeCell ref="A318:K318"/>
    <mergeCell ref="B319:J319"/>
    <mergeCell ref="A332:K332"/>
    <mergeCell ref="B333:J333"/>
    <mergeCell ref="A349:K349"/>
    <mergeCell ref="B350:J350"/>
    <mergeCell ref="A360:K360"/>
    <mergeCell ref="A103:K103"/>
    <mergeCell ref="B104:J104"/>
    <mergeCell ref="A111:K111"/>
    <mergeCell ref="B112:J112"/>
    <mergeCell ref="A120:K120"/>
    <mergeCell ref="B121:J121"/>
    <mergeCell ref="A129:K129"/>
    <mergeCell ref="A155:K155"/>
    <mergeCell ref="B172:J172"/>
    <mergeCell ref="A183:K183"/>
    <mergeCell ref="B184:J184"/>
    <mergeCell ref="B130:J130"/>
    <mergeCell ref="A140:L140"/>
    <mergeCell ref="A141:K141"/>
    <mergeCell ref="B142:J142"/>
    <mergeCell ref="A148:K148"/>
    <mergeCell ref="B149:J149"/>
    <mergeCell ref="A195:K195"/>
    <mergeCell ref="B196:J196"/>
    <mergeCell ref="A202:K202"/>
    <mergeCell ref="B203:J203"/>
    <mergeCell ref="A210:K210"/>
    <mergeCell ref="B211:J211"/>
    <mergeCell ref="A217:L217"/>
    <mergeCell ref="A218:K218"/>
    <mergeCell ref="B219:J219"/>
    <mergeCell ref="A225:K225"/>
    <mergeCell ref="B226:J226"/>
    <mergeCell ref="A232:K232"/>
    <mergeCell ref="B233:J233"/>
    <mergeCell ref="A240:K240"/>
    <mergeCell ref="B241:J241"/>
    <mergeCell ref="B287:J287"/>
    <mergeCell ref="A293:K293"/>
    <mergeCell ref="B294:J294"/>
    <mergeCell ref="A303:K303"/>
    <mergeCell ref="B304:J304"/>
    <mergeCell ref="A310:K310"/>
    <mergeCell ref="B311:J311"/>
  </mergeCells>
  <conditionalFormatting sqref="S170:AA170 B388:J388">
    <cfRule type="cellIs" dxfId="1" priority="1" operator="lessThan">
      <formula>3</formula>
    </cfRule>
  </conditionalFormatting>
  <conditionalFormatting sqref="B22:J24 B353:K355">
    <cfRule type="cellIs" dxfId="1" priority="2" operator="lessThanOrEqual">
      <formula>3</formula>
    </cfRule>
  </conditionalFormatting>
  <conditionalFormatting sqref="B5:K5 B12:K24 B30:K42 B60:K64 B145:K146 B322:K322 B374:K374 B380:J380 B384:J384 S53:AB58 S160:AB166">
    <cfRule type="cellIs" dxfId="0" priority="3" operator="lessThan">
      <formula>3</formula>
    </cfRule>
  </conditionalFormatting>
  <printOptions/>
  <pageMargins bottom="0.75" footer="0.0" header="0.0" left="0.7" right="0.7" top="0.75"/>
  <pageSetup orientation="landscape"/>
  <drawing r:id="rId1"/>
</worksheet>
</file>