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 " sheetId="1" r:id="rId5"/>
    <sheet state="visible" name="PREZENZA " sheetId="2" r:id="rId6"/>
    <sheet state="visible" name="SUDADERAS" sheetId="3" r:id="rId7"/>
    <sheet state="visible" name="En exhibición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tc={a0b87f97-b784-427d-80d8-15abcaaaef1e}</author>
  </authors>
  <commentList>
    <comment authorId="0" xr:uid="{a0b87f97-b784-427d-80d8-15abcaaaef1e}" ref="Q2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User:
</t>
      </text>
    </comment>
  </commentList>
</comments>
</file>

<file path=xl/sharedStrings.xml><?xml version="1.0" encoding="utf-8"?>
<sst xmlns="http://schemas.openxmlformats.org/spreadsheetml/2006/main" count="2150" uniqueCount="212">
  <si>
    <t>STOCK MONTERREY       10/03/2026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</si>
  <si>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</si>
  <si>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</si>
  <si>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</si>
  <si>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</si>
  <si>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</si>
  <si>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</si>
  <si>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</si>
  <si>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</si>
  <si>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</si>
  <si>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</si>
  <si>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</si>
  <si>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</si>
  <si>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</si>
  <si>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</si>
  <si>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</si>
  <si>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</si>
  <si>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</si>
  <si>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</si>
  <si>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</si>
  <si>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</si>
  <si>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</si>
  <si>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</si>
  <si>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</si>
  <si>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</si>
  <si>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</si>
  <si>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</si>
  <si>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</si>
  <si>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</si>
  <si>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</si>
  <si>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</si>
  <si>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</si>
  <si>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</si>
  <si>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</si>
  <si>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</si>
  <si>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</si>
  <si>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BUGAMBILIA</t>
  </si>
  <si>
    <t>NARANJA NEON</t>
  </si>
  <si>
    <t xml:space="preserve"> </t>
  </si>
  <si>
    <t>PLAYERA BE FRESH  TIPO POLO MANGA LARGA</t>
  </si>
  <si>
    <t xml:space="preserve">GRIS OXFORD </t>
  </si>
  <si>
    <t xml:space="preserve">CUELLO REDONDO </t>
  </si>
  <si>
    <t>UNISEX</t>
  </si>
  <si>
    <t>GRIS</t>
  </si>
  <si>
    <t>BLUSAS Y CAMISAS</t>
  </si>
  <si>
    <t>CHALECOS</t>
  </si>
  <si>
    <t>CHAMARRAS</t>
  </si>
  <si>
    <t>BLUSA MEETING</t>
  </si>
  <si>
    <t xml:space="preserve">CHALECO HYDRO </t>
  </si>
  <si>
    <t>TOTAL</t>
  </si>
  <si>
    <t xml:space="preserve">CHAMARRA HYDRO </t>
  </si>
  <si>
    <t>color</t>
  </si>
  <si>
    <t>Color</t>
  </si>
  <si>
    <t>S</t>
  </si>
  <si>
    <t>M</t>
  </si>
  <si>
    <t>L</t>
  </si>
  <si>
    <t>XL</t>
  </si>
  <si>
    <t>BLANCO</t>
  </si>
  <si>
    <t>#</t>
  </si>
  <si>
    <t xml:space="preserve">NEGRO </t>
  </si>
  <si>
    <t xml:space="preserve">MARINO </t>
  </si>
  <si>
    <t>AZUL FRANCIA</t>
  </si>
  <si>
    <t xml:space="preserve"> CAMISA MEETING </t>
  </si>
  <si>
    <t>CHALECO SHEL</t>
  </si>
  <si>
    <t>CHAMARRA SHEL</t>
  </si>
  <si>
    <t xml:space="preserve">ROJO </t>
  </si>
  <si>
    <t xml:space="preserve">BLUSA AMALFI </t>
  </si>
  <si>
    <t xml:space="preserve">CHALECO SHEL </t>
  </si>
  <si>
    <t xml:space="preserve">CHAMARRA SHEL </t>
  </si>
  <si>
    <t>AZUL</t>
  </si>
  <si>
    <t xml:space="preserve"> CAMISA AMALFI</t>
  </si>
  <si>
    <t>CHALECO FIT</t>
  </si>
  <si>
    <t xml:space="preserve">CHAMARRA REACTION </t>
  </si>
  <si>
    <t xml:space="preserve">   </t>
  </si>
  <si>
    <t xml:space="preserve">BLUSA VERONA </t>
  </si>
  <si>
    <t>VERDE</t>
  </si>
  <si>
    <t xml:space="preserve">VINO </t>
  </si>
  <si>
    <t xml:space="preserve">NARANJA </t>
  </si>
  <si>
    <t>A. FRANCIA</t>
  </si>
  <si>
    <t xml:space="preserve"> CAMISA VERONA </t>
  </si>
  <si>
    <t>CHALECO CHIC</t>
  </si>
  <si>
    <t>CHAMARRA CHIC</t>
  </si>
  <si>
    <t>BLUSA TURIN</t>
  </si>
  <si>
    <t xml:space="preserve">CHALECO CHIC </t>
  </si>
  <si>
    <t xml:space="preserve">CHAMARRA CHIC </t>
  </si>
  <si>
    <t xml:space="preserve"> CAMISA TURIN </t>
  </si>
  <si>
    <t>CHALECO SQUARE</t>
  </si>
  <si>
    <t>CHAMARRA SQUARE</t>
  </si>
  <si>
    <t xml:space="preserve">BLUSA OXFORD </t>
  </si>
  <si>
    <t xml:space="preserve">CHALECO SQUARE </t>
  </si>
  <si>
    <t xml:space="preserve">CHAMARRA SQUARE </t>
  </si>
  <si>
    <t>PAJA</t>
  </si>
  <si>
    <t>A. CIELO</t>
  </si>
  <si>
    <t xml:space="preserve">CHALECO FULL </t>
  </si>
  <si>
    <t>CHAMARRA BOMBER FULL</t>
  </si>
  <si>
    <t xml:space="preserve"> CAMISA OXFORD </t>
  </si>
  <si>
    <t>+</t>
  </si>
  <si>
    <t>ROMPEVIENTOS</t>
  </si>
  <si>
    <t>BLUSA PESCADORA</t>
  </si>
  <si>
    <t>TALLA</t>
  </si>
  <si>
    <t>ROJA</t>
  </si>
  <si>
    <t>CHAMARRA ATRACTIVE</t>
  </si>
  <si>
    <t>ARENA</t>
  </si>
  <si>
    <t xml:space="preserve">A. CIELO </t>
  </si>
  <si>
    <t>V. MILITAR</t>
  </si>
  <si>
    <t>A. REY</t>
  </si>
  <si>
    <t>ACERO</t>
  </si>
  <si>
    <t>PISTACHE</t>
  </si>
  <si>
    <t xml:space="preserve"> CAMISA PESCADORA </t>
  </si>
  <si>
    <t xml:space="preserve">CHAMARRA CAPITONADA IMPORTADA </t>
  </si>
  <si>
    <t>GRIS PERLA-</t>
  </si>
  <si>
    <t>LINEA SECURITY</t>
  </si>
  <si>
    <t>CHALECO BRIGADISTA UNISEX</t>
  </si>
  <si>
    <t>BLUSA MEZCLILLA</t>
  </si>
  <si>
    <t>UNI</t>
  </si>
  <si>
    <t>STONE</t>
  </si>
  <si>
    <t>KAKI</t>
  </si>
  <si>
    <t xml:space="preserve"> CAMISA MEZCLILA</t>
  </si>
  <si>
    <t xml:space="preserve">                                     C129:C130</t>
  </si>
  <si>
    <t>REY</t>
  </si>
  <si>
    <t>G. PERLA</t>
  </si>
  <si>
    <t>BCO</t>
  </si>
  <si>
    <t>NGO</t>
  </si>
  <si>
    <t>PANTALON MEZCLILLA</t>
  </si>
  <si>
    <t>CHALECO MEXICO CON REFLEJANTE UNISEX</t>
  </si>
  <si>
    <t>P. MEZCLILLA</t>
  </si>
  <si>
    <t>PANTALON  MEZCLILA</t>
  </si>
  <si>
    <t>CAMISAS SECURITY  C/REFLEJANTE UNISEX</t>
  </si>
  <si>
    <t>CHALECO ALTA VISIBILIDAD UNISEX</t>
  </si>
  <si>
    <t>MARINO-AMARILLO</t>
  </si>
  <si>
    <t xml:space="preserve">  </t>
  </si>
  <si>
    <t>BLUSA SECURITY 7.5 oz DAMA</t>
  </si>
  <si>
    <t>SECURITY</t>
  </si>
  <si>
    <t xml:space="preserve"> CAMISA MEZCLILLA SECURITY 7.5 oz CABALLERO</t>
  </si>
  <si>
    <t>LINEA CHEF</t>
  </si>
  <si>
    <t>MANDIL LONETA</t>
  </si>
  <si>
    <t>MANDIL LARRY LARGO</t>
  </si>
  <si>
    <t>MANDIL LARRY CORTO</t>
  </si>
  <si>
    <t>Filipina</t>
  </si>
  <si>
    <t>CAMISAS PESCADORA SECURITY  C/REFLEJANTE DAMA</t>
  </si>
  <si>
    <t>CAMISAS PESCADORA SECURITY  C/REFLEJANTE CABALLERO</t>
  </si>
  <si>
    <t xml:space="preserve">PANTALON DE GABARDINA </t>
  </si>
  <si>
    <t xml:space="preserve"> MARINO</t>
  </si>
  <si>
    <t>PLAYERA SUBLIMADA DE MÉXICO</t>
  </si>
  <si>
    <t>SUDADERA GALAXY</t>
  </si>
  <si>
    <t>SUDADERA ONIX</t>
  </si>
  <si>
    <t>NARANJA/MARINO</t>
  </si>
  <si>
    <t>AMARILLO/MARINO</t>
  </si>
  <si>
    <t>PLAYERA IRON MANGA LARGA UNISEX</t>
  </si>
  <si>
    <t>XXCH</t>
  </si>
  <si>
    <t>PLAYERA IRON MANGA CORTA UNISEX</t>
  </si>
  <si>
    <t>PLAYERA VERSUS UNISEX</t>
  </si>
  <si>
    <t>SUDADERA FLEECE</t>
  </si>
  <si>
    <t>COLOR</t>
  </si>
  <si>
    <t>SUDADERA BE FRESH</t>
  </si>
  <si>
    <t>SUDADERA HOODIE</t>
  </si>
  <si>
    <t>AZUL REY</t>
  </si>
  <si>
    <t>GRIS JASPE</t>
  </si>
  <si>
    <t>SUDADERA BASICA</t>
  </si>
  <si>
    <t>SUDADERA CON CIERRE</t>
  </si>
  <si>
    <t>CHAMARRA COLLEGE</t>
  </si>
  <si>
    <t>MARINO/JASPE</t>
  </si>
  <si>
    <t>MARINO/OXFORD</t>
  </si>
  <si>
    <t>NGO/BCO</t>
  </si>
  <si>
    <t>NGO/OXFORD</t>
  </si>
  <si>
    <t>ROJO/NGO</t>
  </si>
  <si>
    <t>REY/GRIS JASPE</t>
  </si>
  <si>
    <t>NGO/NGO</t>
  </si>
  <si>
    <t>BLUS PESC</t>
  </si>
  <si>
    <t xml:space="preserve">PLAYERA TIPO POLO MANGA CORTA </t>
  </si>
  <si>
    <t xml:space="preserve"> CAM PESC</t>
  </si>
  <si>
    <t>MANGA LARGA</t>
  </si>
  <si>
    <t>2XL</t>
  </si>
  <si>
    <t>3XL</t>
  </si>
  <si>
    <t>4XL</t>
  </si>
  <si>
    <t>5XL</t>
  </si>
  <si>
    <t>BLU MEET</t>
  </si>
  <si>
    <t>CUELLO REDON</t>
  </si>
  <si>
    <t xml:space="preserve"> CAM MEET</t>
  </si>
  <si>
    <t>SUDA GALAX</t>
  </si>
  <si>
    <t>BLU AMAL</t>
  </si>
  <si>
    <t xml:space="preserve"> CAM AMAL</t>
  </si>
  <si>
    <t>SUDA ONI</t>
  </si>
  <si>
    <t>BLU VERO</t>
  </si>
  <si>
    <t>PLAYERA AIRON MANGA LARGA</t>
  </si>
  <si>
    <t>PLAYERA AIRON MANGA CORTA UNISEX</t>
  </si>
  <si>
    <t xml:space="preserve"> CAM VERO</t>
  </si>
  <si>
    <t>PLAYERA VERSU UNISEX</t>
  </si>
  <si>
    <t>BLU TURI</t>
  </si>
  <si>
    <t>SUDADERA FLEESE</t>
  </si>
  <si>
    <t xml:space="preserve"> CAMI TURI</t>
  </si>
  <si>
    <t>SUDADERA BE FRESHH</t>
  </si>
  <si>
    <t>BLUS OXFO</t>
  </si>
  <si>
    <t>SUDADERA HOODI</t>
  </si>
  <si>
    <t xml:space="preserve"> CAM OXFO</t>
  </si>
  <si>
    <t>SUDADERA BASICAS</t>
  </si>
  <si>
    <t>CHAL HYD</t>
  </si>
  <si>
    <t>SUDADERA CON ZIERRE</t>
  </si>
  <si>
    <t>CHAL SHELL</t>
  </si>
  <si>
    <t>CHAMARRA COLLEGGE</t>
  </si>
  <si>
    <t>CHAL FITT</t>
  </si>
  <si>
    <t>CHAL CHIK</t>
  </si>
  <si>
    <t>CHAL FUL</t>
  </si>
  <si>
    <t>CHAMA HYD</t>
  </si>
  <si>
    <t>CHAM HYD</t>
  </si>
  <si>
    <t>CHAMA SHELL</t>
  </si>
  <si>
    <t>CHAMA REACT</t>
  </si>
  <si>
    <t>CHAMA CHIK</t>
  </si>
  <si>
    <t>CHAMA FULL</t>
  </si>
  <si>
    <t>ROMPE VIENTOS</t>
  </si>
  <si>
    <t>CHAMA ATRAC</t>
  </si>
  <si>
    <t>CHALECO BRIGADIST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</si>
</sst>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2">
    <font>
      <sz val="11.0"/>
      <color theme="1"/>
      <name val="Calibri"/>
      <scheme val="minor"/>
    </font>
    <font>
      <b/>
      <sz val="20.0"/>
      <color theme="1"/>
      <name val="Arial"/>
    </font>
    <font>
      <b/>
      <u/>
      <sz val="20.0"/>
      <color theme="1"/>
      <name val="Arial Black"/>
    </font>
    <font/>
    <font>
      <b/>
      <sz val="20.0"/>
      <color rgb="FFFF0000"/>
      <name val="Arial"/>
    </font>
    <font>
      <b/>
      <sz val="20.0"/>
      <color theme="1"/>
      <name val="Calibri"/>
    </font>
    <font>
      <sz val="11.0"/>
      <color theme="1"/>
      <name val="Arial"/>
    </font>
    <font>
      <sz val="26.0"/>
      <color theme="1"/>
      <name val="Arial Black"/>
    </font>
    <font>
      <sz val="16.0"/>
      <color theme="1"/>
      <name val="Arial"/>
    </font>
    <font>
      <sz val="28.0"/>
      <color theme="1"/>
      <name val="Arial"/>
    </font>
    <font>
      <b/>
      <sz val="11.0"/>
      <color theme="1"/>
      <name val="Arial"/>
    </font>
    <font>
      <u/>
      <sz val="16.0"/>
      <color theme="1"/>
      <name val="Arial"/>
    </font>
    <font>
      <sz val="16.0"/>
      <color rgb="FF000000"/>
      <name val="Arial"/>
    </font>
    <font>
      <u/>
      <sz val="16.0"/>
      <color theme="1"/>
      <name val="Arial"/>
    </font>
    <font>
      <sz val="22.0"/>
      <color theme="1"/>
      <name val="Arial"/>
    </font>
    <font>
      <sz val="20.0"/>
      <color theme="1"/>
      <name val="Arial"/>
    </font>
    <font>
      <u/>
      <sz val="20.0"/>
      <color theme="1"/>
      <name val="Arial"/>
    </font>
    <font>
      <sz val="24.0"/>
      <color theme="1"/>
      <name val="Arial"/>
    </font>
    <font>
      <u/>
      <sz val="11.0"/>
      <color theme="1"/>
      <name val="Arial"/>
    </font>
    <font>
      <color theme="1"/>
      <name val="Calibri"/>
      <scheme val="minor"/>
    </font>
    <font>
      <b/>
      <sz val="20.0"/>
      <color theme="1"/>
      <name val="Arial Black"/>
    </font>
    <font>
      <b/>
      <sz val="16.0"/>
      <color theme="1"/>
      <name val="Biome"/>
    </font>
    <font>
      <b/>
      <sz val="16.0"/>
      <color theme="1"/>
      <name val="Arial"/>
    </font>
    <font>
      <sz val="16.0"/>
      <color theme="1"/>
      <name val="Biome"/>
    </font>
    <font>
      <sz val="12.0"/>
      <color theme="1"/>
      <name val="Arial"/>
    </font>
    <font>
      <sz val="11.0"/>
      <color theme="1"/>
      <name val="Calibri"/>
    </font>
    <font>
      <u/>
      <sz val="12.0"/>
      <color theme="1"/>
      <name val="Arial"/>
    </font>
    <font>
      <b/>
      <u/>
      <sz val="16.0"/>
      <color theme="1"/>
      <name val="Biome"/>
    </font>
    <font>
      <b/>
      <u/>
      <sz val="16.0"/>
      <color theme="1"/>
      <name val="Biome"/>
    </font>
    <font>
      <b/>
      <u/>
      <sz val="16.0"/>
      <color theme="1"/>
      <name val="Biome"/>
    </font>
    <font>
      <b/>
      <u/>
      <sz val="16.0"/>
      <color theme="1"/>
      <name val="Biome"/>
    </font>
    <font>
      <u/>
      <sz val="12.0"/>
      <color theme="1"/>
      <name val="Arial"/>
    </font>
    <font>
      <b/>
      <u/>
      <sz val="16.0"/>
      <color theme="1"/>
      <name val="Biome"/>
    </font>
    <font>
      <u/>
      <sz val="16.0"/>
      <color theme="1"/>
      <name val="Biome"/>
    </font>
    <font>
      <u/>
      <color theme="1"/>
      <name val="Calibri"/>
      <scheme val="minor"/>
    </font>
    <font>
      <u/>
      <sz val="16.0"/>
      <color theme="1"/>
      <name val="Biome"/>
    </font>
    <font>
      <u/>
      <sz val="16.0"/>
      <color theme="1"/>
      <name val="Biome"/>
    </font>
    <font>
      <u/>
      <sz val="16.0"/>
      <color theme="1"/>
      <name val="Biome"/>
    </font>
    <font>
      <u/>
      <sz val="16.0"/>
      <color theme="1"/>
      <name val="Biome"/>
    </font>
    <font>
      <b/>
      <sz val="14.0"/>
      <color theme="1"/>
      <name val="Biome"/>
    </font>
    <font>
      <sz val="14.0"/>
      <color theme="1"/>
      <name val="Arial Black"/>
    </font>
    <font>
      <u/>
      <sz val="16.0"/>
      <color theme="1"/>
      <name val="Biome"/>
    </font>
    <font>
      <b/>
      <sz val="18.0"/>
      <color theme="1"/>
      <name val="Arial"/>
    </font>
    <font>
      <u/>
      <sz val="16.0"/>
      <color theme="1"/>
      <name val="Biome"/>
    </font>
    <font>
      <b/>
      <sz val="14.0"/>
      <color theme="1"/>
      <name val="Arial"/>
    </font>
    <font>
      <sz val="16.0"/>
      <color theme="1"/>
      <name val="Calibri"/>
      <scheme val="minor"/>
    </font>
    <font>
      <b/>
      <sz val="17.0"/>
      <color theme="1"/>
      <name val="Arial"/>
    </font>
    <font>
      <sz val="17.0"/>
      <color theme="1"/>
      <name val="Arial"/>
    </font>
    <font>
      <b/>
      <sz val="16.0"/>
      <color theme="1"/>
      <name val="Arial Black"/>
    </font>
    <font>
      <b/>
      <sz val="12.0"/>
      <color theme="1"/>
      <name val="Arial"/>
    </font>
    <font>
      <u/>
      <sz val="11.0"/>
      <color theme="1"/>
      <name val="Arial"/>
    </font>
    <font>
      <u/>
      <sz val="16.0"/>
      <color theme="1"/>
      <name val="Biome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</fills>
  <borders count="47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/>
    </border>
    <border>
      <left/>
      <right/>
      <top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4" numFmtId="164" xfId="0" applyAlignment="1" applyBorder="1" applyFont="1" applyNumberFormat="1">
      <alignment horizontal="center" shrinkToFit="0" vertical="top" wrapText="1"/>
    </xf>
    <xf borderId="0" fillId="0" fontId="5" numFmtId="0" xfId="0" applyFont="1"/>
    <xf borderId="1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8" numFmtId="164" xfId="0" applyAlignment="1" applyBorder="1" applyFont="1" applyNumberFormat="1">
      <alignment horizontal="center" shrinkToFit="0" vertical="top" wrapText="1"/>
    </xf>
    <xf borderId="8" fillId="3" fontId="9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8" fillId="4" fontId="9" numFmtId="0" xfId="0" applyAlignment="1" applyBorder="1" applyFill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3" fontId="10" numFmtId="0" xfId="0" applyAlignment="1" applyBorder="1" applyFont="1">
      <alignment horizontal="center" vertical="center"/>
    </xf>
    <xf borderId="13" fillId="3" fontId="10" numFmtId="0" xfId="0" applyAlignment="1" applyBorder="1" applyFont="1">
      <alignment horizontal="center" vertical="center"/>
    </xf>
    <xf borderId="13" fillId="4" fontId="10" numFmtId="0" xfId="0" applyAlignment="1" applyBorder="1" applyFont="1">
      <alignment horizontal="center" vertical="center"/>
    </xf>
    <xf borderId="14" fillId="4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vertical="center"/>
    </xf>
    <xf borderId="16" fillId="5" fontId="8" numFmtId="0" xfId="0" applyAlignment="1" applyBorder="1" applyFill="1" applyFont="1">
      <alignment horizontal="center" vertical="center"/>
    </xf>
    <xf borderId="16" fillId="5" fontId="11" numFmtId="0" xfId="0" applyAlignment="1" applyBorder="1" applyFont="1">
      <alignment horizontal="center" vertical="center"/>
    </xf>
    <xf borderId="17" fillId="2" fontId="8" numFmtId="164" xfId="0" applyAlignment="1" applyBorder="1" applyFont="1" applyNumberFormat="1">
      <alignment horizontal="center" shrinkToFit="0" vertical="top" wrapText="1"/>
    </xf>
    <xf borderId="16" fillId="5" fontId="8" numFmtId="0" xfId="0" applyAlignment="1" applyBorder="1" applyFont="1">
      <alignment horizontal="center" vertical="center"/>
    </xf>
    <xf borderId="16" fillId="2" fontId="8" numFmtId="0" xfId="0" applyAlignment="1" applyBorder="1" applyFont="1">
      <alignment horizontal="center" vertical="center"/>
    </xf>
    <xf borderId="16" fillId="5" fontId="12" numFmtId="0" xfId="0" applyAlignment="1" applyBorder="1" applyFont="1">
      <alignment horizontal="center" vertical="center"/>
    </xf>
    <xf borderId="18" fillId="6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vertical="center"/>
    </xf>
    <xf borderId="16" fillId="6" fontId="8" numFmtId="0" xfId="0" applyAlignment="1" applyBorder="1" applyFont="1">
      <alignment horizontal="center" vertical="center"/>
    </xf>
    <xf borderId="18" fillId="5" fontId="8" numFmtId="0" xfId="0" applyAlignment="1" applyBorder="1" applyFont="1">
      <alignment horizontal="center" vertical="center"/>
    </xf>
    <xf borderId="16" fillId="2" fontId="13" numFmtId="0" xfId="0" applyAlignment="1" applyBorder="1" applyFont="1">
      <alignment horizontal="center" vertical="center"/>
    </xf>
    <xf borderId="20" fillId="7" fontId="10" numFmtId="0" xfId="0" applyAlignment="1" applyBorder="1" applyFill="1" applyFont="1">
      <alignment horizontal="center" vertical="center"/>
    </xf>
    <xf borderId="20" fillId="6" fontId="8" numFmtId="0" xfId="0" applyAlignment="1" applyBorder="1" applyFont="1">
      <alignment horizontal="center" vertical="center"/>
    </xf>
    <xf borderId="21" fillId="6" fontId="8" numFmtId="0" xfId="0" applyAlignment="1" applyBorder="1" applyFont="1">
      <alignment horizontal="center" vertical="center"/>
    </xf>
    <xf borderId="20" fillId="7" fontId="10" numFmtId="0" xfId="0" applyAlignment="1" applyBorder="1" applyFont="1">
      <alignment horizontal="center" readingOrder="0" vertical="center"/>
    </xf>
    <xf borderId="20" fillId="5" fontId="8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vertical="center"/>
    </xf>
    <xf borderId="23" fillId="5" fontId="14" numFmtId="164" xfId="0" applyAlignment="1" applyBorder="1" applyFont="1" applyNumberFormat="1">
      <alignment horizontal="center" shrinkToFit="0" vertical="top" wrapText="1"/>
    </xf>
    <xf borderId="8" fillId="3" fontId="6" numFmtId="0" xfId="0" applyAlignment="1" applyBorder="1" applyFont="1">
      <alignment horizontal="center" vertical="center"/>
    </xf>
    <xf borderId="8" fillId="4" fontId="6" numFmtId="0" xfId="0" applyAlignment="1" applyBorder="1" applyFont="1">
      <alignment horizontal="center" shrinkToFit="0" vertical="center" wrapText="1"/>
    </xf>
    <xf borderId="24" fillId="3" fontId="10" numFmtId="0" xfId="0" applyAlignment="1" applyBorder="1" applyFont="1">
      <alignment horizontal="center" vertical="center"/>
    </xf>
    <xf borderId="12" fillId="4" fontId="10" numFmtId="0" xfId="0" applyAlignment="1" applyBorder="1" applyFont="1">
      <alignment horizontal="center" vertical="center"/>
    </xf>
    <xf borderId="18" fillId="2" fontId="15" numFmtId="0" xfId="0" applyAlignment="1" applyBorder="1" applyFont="1">
      <alignment horizontal="center" vertical="center"/>
    </xf>
    <xf borderId="15" fillId="2" fontId="8" numFmtId="164" xfId="0" applyAlignment="1" applyBorder="1" applyFont="1" applyNumberFormat="1">
      <alignment horizontal="center" shrinkToFit="0" vertical="top" wrapText="1"/>
    </xf>
    <xf borderId="15" fillId="0" fontId="8" numFmtId="164" xfId="0" applyAlignment="1" applyBorder="1" applyFont="1" applyNumberFormat="1">
      <alignment horizontal="center" shrinkToFit="0" vertical="top" wrapText="1"/>
    </xf>
    <xf borderId="18" fillId="2" fontId="16" numFmtId="0" xfId="0" applyAlignment="1" applyBorder="1" applyFont="1">
      <alignment horizontal="center" vertical="center"/>
    </xf>
    <xf borderId="23" fillId="5" fontId="15" numFmtId="164" xfId="0" applyAlignment="1" applyBorder="1" applyFont="1" applyNumberFormat="1">
      <alignment horizontal="center" shrinkToFit="0" vertical="top" wrapText="1"/>
    </xf>
    <xf borderId="25" fillId="2" fontId="7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8" fontId="6" numFmtId="0" xfId="0" applyAlignment="1" applyBorder="1" applyFill="1" applyFont="1">
      <alignment horizontal="center" shrinkToFit="0" vertical="center" wrapText="1"/>
    </xf>
    <xf borderId="29" fillId="0" fontId="3" numFmtId="0" xfId="0" applyBorder="1" applyFont="1"/>
    <xf borderId="1" fillId="2" fontId="8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top"/>
    </xf>
    <xf borderId="13" fillId="8" fontId="10" numFmtId="0" xfId="0" applyAlignment="1" applyBorder="1" applyFont="1">
      <alignment horizontal="center" vertical="center"/>
    </xf>
    <xf borderId="14" fillId="8" fontId="10" numFmtId="0" xfId="0" applyAlignment="1" applyBorder="1" applyFont="1">
      <alignment horizontal="center" vertical="center"/>
    </xf>
    <xf borderId="15" fillId="2" fontId="15" numFmtId="164" xfId="0" applyAlignment="1" applyBorder="1" applyFont="1" applyNumberFormat="1">
      <alignment shrinkToFit="0" vertical="center" wrapText="1"/>
    </xf>
    <xf borderId="1" fillId="2" fontId="15" numFmtId="0" xfId="0" applyAlignment="1" applyBorder="1" applyFont="1">
      <alignment horizontal="center" vertical="center"/>
    </xf>
    <xf borderId="20" fillId="2" fontId="15" numFmtId="164" xfId="0" applyAlignment="1" applyBorder="1" applyFont="1" applyNumberFormat="1">
      <alignment shrinkToFit="0" vertical="center" wrapText="1"/>
    </xf>
    <xf borderId="25" fillId="5" fontId="17" numFmtId="164" xfId="0" applyAlignment="1" applyBorder="1" applyFont="1" applyNumberFormat="1">
      <alignment horizontal="center" shrinkToFit="0" vertical="center" wrapText="1"/>
    </xf>
    <xf borderId="1" fillId="2" fontId="18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top"/>
    </xf>
    <xf borderId="1" fillId="2" fontId="15" numFmtId="0" xfId="0" applyAlignment="1" applyBorder="1" applyFont="1">
      <alignment horizontal="center" readingOrder="0" vertical="center"/>
    </xf>
    <xf borderId="2" fillId="2" fontId="20" numFmtId="0" xfId="0" applyAlignment="1" applyBorder="1" applyFont="1">
      <alignment horizontal="center" readingOrder="0" vertical="center"/>
    </xf>
    <xf borderId="1" fillId="2" fontId="4" numFmtId="164" xfId="0" applyAlignment="1" applyBorder="1" applyFont="1" applyNumberFormat="1">
      <alignment horizontal="center" shrinkToFit="0" vertical="center" wrapText="1"/>
    </xf>
    <xf borderId="30" fillId="2" fontId="20" numFmtId="0" xfId="0" applyAlignment="1" applyBorder="1" applyFont="1">
      <alignment horizontal="center" vertical="center"/>
    </xf>
    <xf borderId="31" fillId="0" fontId="3" numFmtId="0" xfId="0" applyBorder="1" applyFont="1"/>
    <xf borderId="32" fillId="0" fontId="3" numFmtId="0" xfId="0" applyBorder="1" applyFont="1"/>
    <xf borderId="1" fillId="2" fontId="21" numFmtId="0" xfId="0" applyAlignment="1" applyBorder="1" applyFont="1">
      <alignment horizontal="center" vertical="center"/>
    </xf>
    <xf borderId="33" fillId="0" fontId="20" numFmtId="0" xfId="0" applyAlignment="1" applyBorder="1" applyFont="1">
      <alignment horizontal="center"/>
    </xf>
    <xf borderId="33" fillId="0" fontId="3" numFmtId="0" xfId="0" applyBorder="1" applyFont="1"/>
    <xf borderId="34" fillId="9" fontId="22" numFmtId="0" xfId="0" applyAlignment="1" applyBorder="1" applyFill="1" applyFont="1">
      <alignment horizontal="center" readingOrder="0" vertical="center"/>
    </xf>
    <xf borderId="35" fillId="0" fontId="3" numFmtId="0" xfId="0" applyBorder="1" applyFont="1"/>
    <xf borderId="36" fillId="0" fontId="3" numFmtId="0" xfId="0" applyBorder="1" applyFont="1"/>
    <xf borderId="25" fillId="7" fontId="21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21" numFmtId="0" xfId="0" applyAlignment="1" applyBorder="1" applyFont="1">
      <alignment horizontal="center" textRotation="255" vertical="center"/>
    </xf>
    <xf borderId="0" fillId="0" fontId="23" numFmtId="0" xfId="0" applyAlignment="1" applyFont="1">
      <alignment horizontal="center" vertical="center"/>
    </xf>
    <xf borderId="38" fillId="0" fontId="21" numFmtId="0" xfId="0" applyAlignment="1" applyBorder="1" applyFont="1">
      <alignment horizontal="center" shrinkToFit="0" textRotation="255" vertical="center" wrapText="1"/>
    </xf>
    <xf borderId="17" fillId="2" fontId="24" numFmtId="0" xfId="0" applyAlignment="1" applyBorder="1" applyFont="1">
      <alignment horizontal="center" vertical="center"/>
    </xf>
    <xf borderId="25" fillId="2" fontId="21" numFmtId="0" xfId="0" applyAlignment="1" applyBorder="1" applyFont="1">
      <alignment horizontal="center" vertical="center"/>
    </xf>
    <xf borderId="15" fillId="0" fontId="23" numFmtId="0" xfId="0" applyBorder="1" applyFont="1"/>
    <xf borderId="15" fillId="2" fontId="24" numFmtId="0" xfId="0" applyAlignment="1" applyBorder="1" applyFont="1">
      <alignment horizontal="center" vertical="center"/>
    </xf>
    <xf borderId="11" fillId="2" fontId="21" numFmtId="0" xfId="0" applyAlignment="1" applyBorder="1" applyFont="1">
      <alignment horizontal="center" vertical="center"/>
    </xf>
    <xf borderId="39" fillId="0" fontId="3" numFmtId="0" xfId="0" applyBorder="1" applyFont="1"/>
    <xf borderId="25" fillId="0" fontId="25" numFmtId="0" xfId="0" applyBorder="1" applyFont="1"/>
    <xf borderId="17" fillId="2" fontId="24" numFmtId="0" xfId="0" applyAlignment="1" applyBorder="1" applyFont="1">
      <alignment horizontal="center" readingOrder="0" vertical="center"/>
    </xf>
    <xf borderId="15" fillId="2" fontId="23" numFmtId="0" xfId="0" applyAlignment="1" applyBorder="1" applyFont="1">
      <alignment horizontal="center" vertical="center"/>
    </xf>
    <xf borderId="11" fillId="2" fontId="23" numFmtId="0" xfId="0" applyAlignment="1" applyBorder="1" applyFont="1">
      <alignment horizontal="center" vertical="center"/>
    </xf>
    <xf borderId="17" fillId="2" fontId="26" numFmtId="0" xfId="0" applyAlignment="1" applyBorder="1" applyFont="1">
      <alignment horizontal="center" vertical="center"/>
    </xf>
    <xf borderId="15" fillId="2" fontId="27" numFmtId="0" xfId="0" applyAlignment="1" applyBorder="1" applyFont="1">
      <alignment horizontal="center" vertical="center"/>
    </xf>
    <xf borderId="11" fillId="2" fontId="28" numFmtId="0" xfId="0" applyAlignment="1" applyBorder="1" applyFont="1">
      <alignment horizontal="center" vertical="center"/>
    </xf>
    <xf borderId="15" fillId="0" fontId="29" numFmtId="0" xfId="0" applyAlignment="1" applyBorder="1" applyFont="1">
      <alignment horizontal="center"/>
    </xf>
    <xf borderId="40" fillId="2" fontId="30" numFmtId="0" xfId="0" applyAlignment="1" applyBorder="1" applyFont="1">
      <alignment horizontal="center" vertical="center"/>
    </xf>
    <xf borderId="15" fillId="2" fontId="31" numFmtId="0" xfId="0" applyAlignment="1" applyBorder="1" applyFont="1">
      <alignment horizontal="center" vertical="center"/>
    </xf>
    <xf borderId="25" fillId="0" fontId="32" numFmtId="0" xfId="0" applyAlignment="1" applyBorder="1" applyFont="1">
      <alignment horizontal="center"/>
    </xf>
    <xf borderId="0" fillId="0" fontId="33" numFmtId="0" xfId="0" applyAlignment="1" applyFont="1">
      <alignment horizontal="center" vertical="center"/>
    </xf>
    <xf borderId="0" fillId="0" fontId="34" numFmtId="0" xfId="0" applyFont="1"/>
    <xf borderId="15" fillId="2" fontId="35" numFmtId="0" xfId="0" applyAlignment="1" applyBorder="1" applyFont="1">
      <alignment horizontal="center" vertical="center"/>
    </xf>
    <xf borderId="41" fillId="0" fontId="23" numFmtId="0" xfId="0" applyAlignment="1" applyBorder="1" applyFont="1">
      <alignment horizontal="center" vertical="center"/>
    </xf>
    <xf borderId="0" fillId="0" fontId="25" numFmtId="0" xfId="0" applyAlignment="1" applyFont="1">
      <alignment horizontal="right"/>
    </xf>
    <xf borderId="15" fillId="2" fontId="23" numFmtId="0" xfId="0" applyBorder="1" applyFont="1"/>
    <xf borderId="0" fillId="0" fontId="23" numFmtId="0" xfId="0" applyAlignment="1" applyFont="1">
      <alignment horizontal="right" vertical="center"/>
    </xf>
    <xf borderId="15" fillId="5" fontId="23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shrinkToFit="0" vertical="center" wrapText="1"/>
    </xf>
    <xf borderId="15" fillId="0" fontId="25" numFmtId="0" xfId="0" applyBorder="1" applyFont="1"/>
    <xf borderId="1" fillId="2" fontId="24" numFmtId="0" xfId="0" applyAlignment="1" applyBorder="1" applyFont="1">
      <alignment horizontal="center" vertical="center"/>
    </xf>
    <xf borderId="1" fillId="2" fontId="23" numFmtId="0" xfId="0" applyAlignment="1" applyBorder="1" applyFont="1">
      <alignment horizontal="center" vertical="center"/>
    </xf>
    <xf borderId="1" fillId="5" fontId="23" numFmtId="0" xfId="0" applyAlignment="1" applyBorder="1" applyFont="1">
      <alignment horizontal="center" vertical="center"/>
    </xf>
    <xf borderId="25" fillId="9" fontId="21" numFmtId="0" xfId="0" applyAlignment="1" applyBorder="1" applyFont="1">
      <alignment horizontal="center" vertical="center"/>
    </xf>
    <xf borderId="15" fillId="2" fontId="21" numFmtId="0" xfId="0" applyAlignment="1" applyBorder="1" applyFont="1">
      <alignment horizontal="center" vertical="center"/>
    </xf>
    <xf borderId="25" fillId="0" fontId="21" numFmtId="0" xfId="0" applyAlignment="1" applyBorder="1" applyFont="1">
      <alignment horizontal="center"/>
    </xf>
    <xf borderId="15" fillId="0" fontId="23" numFmtId="0" xfId="0" applyAlignment="1" applyBorder="1" applyFont="1">
      <alignment horizontal="center" vertical="center"/>
    </xf>
    <xf borderId="41" fillId="0" fontId="3" numFmtId="0" xfId="0" applyBorder="1" applyFont="1"/>
    <xf borderId="15" fillId="5" fontId="23" numFmtId="0" xfId="0" applyBorder="1" applyFont="1"/>
    <xf borderId="15" fillId="5" fontId="36" numFmtId="0" xfId="0" applyAlignment="1" applyBorder="1" applyFont="1">
      <alignment horizontal="center" vertical="center"/>
    </xf>
    <xf borderId="15" fillId="5" fontId="23" numFmtId="0" xfId="0" applyAlignment="1" applyBorder="1" applyFont="1">
      <alignment horizontal="center"/>
    </xf>
    <xf borderId="15" fillId="0" fontId="21" numFmtId="0" xfId="0" applyAlignment="1" applyBorder="1" applyFont="1">
      <alignment horizontal="center" vertical="center"/>
    </xf>
    <xf borderId="0" fillId="0" fontId="19" numFmtId="0" xfId="0" applyFont="1"/>
    <xf borderId="25" fillId="7" fontId="21" numFmtId="0" xfId="0" applyAlignment="1" applyBorder="1" applyFont="1">
      <alignment horizontal="center" vertical="center"/>
    </xf>
    <xf borderId="1" fillId="2" fontId="24" numFmtId="0" xfId="0" applyAlignment="1" applyBorder="1" applyFont="1">
      <alignment horizontal="center" shrinkToFit="0" vertical="center" wrapText="1"/>
    </xf>
    <xf borderId="15" fillId="5" fontId="23" numFmtId="0" xfId="0" applyAlignment="1" applyBorder="1" applyFont="1">
      <alignment horizontal="center" vertical="center"/>
    </xf>
    <xf borderId="0" fillId="0" fontId="23" numFmtId="0" xfId="0" applyFont="1"/>
    <xf borderId="1" fillId="2" fontId="25" numFmtId="0" xfId="0" applyBorder="1" applyFont="1"/>
    <xf borderId="15" fillId="2" fontId="22" numFmtId="0" xfId="0" applyAlignment="1" applyBorder="1" applyFont="1">
      <alignment horizontal="center" readingOrder="0" vertical="center"/>
    </xf>
    <xf borderId="15" fillId="10" fontId="24" numFmtId="0" xfId="0" applyAlignment="1" applyBorder="1" applyFill="1" applyFont="1">
      <alignment horizontal="center" vertical="center"/>
    </xf>
    <xf borderId="15" fillId="10" fontId="23" numFmtId="0" xfId="0" applyAlignment="1" applyBorder="1" applyFont="1">
      <alignment horizontal="center" vertical="center"/>
    </xf>
    <xf borderId="11" fillId="10" fontId="37" numFmtId="0" xfId="0" applyAlignment="1" applyBorder="1" applyFont="1">
      <alignment horizontal="center" vertical="center"/>
    </xf>
    <xf borderId="11" fillId="10" fontId="23" numFmtId="0" xfId="0" applyAlignment="1" applyBorder="1" applyFont="1">
      <alignment horizontal="center" vertical="center"/>
    </xf>
    <xf borderId="20" fillId="2" fontId="24" numFmtId="0" xfId="0" applyAlignment="1" applyBorder="1" applyFont="1">
      <alignment horizontal="center" vertical="center"/>
    </xf>
    <xf borderId="1" fillId="2" fontId="38" numFmtId="0" xfId="0" applyAlignment="1" applyBorder="1" applyFont="1">
      <alignment horizontal="center" vertical="center"/>
    </xf>
    <xf borderId="38" fillId="0" fontId="39" numFmtId="0" xfId="0" applyAlignment="1" applyBorder="1" applyFont="1">
      <alignment horizontal="center" textRotation="255" vertical="center"/>
    </xf>
    <xf borderId="15" fillId="0" fontId="21" numFmtId="0" xfId="0" applyAlignment="1" applyBorder="1" applyFont="1">
      <alignment horizontal="center"/>
    </xf>
    <xf borderId="15" fillId="2" fontId="23" numFmtId="0" xfId="0" applyAlignment="1" applyBorder="1" applyFont="1">
      <alignment horizontal="center"/>
    </xf>
    <xf borderId="1" fillId="5" fontId="40" numFmtId="0" xfId="0" applyAlignment="1" applyBorder="1" applyFont="1">
      <alignment horizontal="center"/>
    </xf>
    <xf borderId="0" fillId="0" fontId="25" numFmtId="0" xfId="0" applyAlignment="1" applyFont="1">
      <alignment horizontal="center" vertical="center"/>
    </xf>
    <xf borderId="42" fillId="9" fontId="21" numFmtId="0" xfId="0" applyAlignment="1" applyBorder="1" applyFont="1">
      <alignment horizontal="center" shrinkToFit="0" vertical="center" wrapText="1"/>
    </xf>
    <xf borderId="15" fillId="6" fontId="24" numFmtId="0" xfId="0" applyAlignment="1" applyBorder="1" applyFont="1">
      <alignment horizontal="center" vertical="center"/>
    </xf>
    <xf borderId="15" fillId="6" fontId="23" numFmtId="0" xfId="0" applyAlignment="1" applyBorder="1" applyFont="1">
      <alignment horizontal="center" vertical="center"/>
    </xf>
    <xf borderId="43" fillId="2" fontId="21" numFmtId="0" xfId="0" applyAlignment="1" applyBorder="1" applyFont="1">
      <alignment horizontal="center" shrinkToFit="0" vertical="center" wrapText="1"/>
    </xf>
    <xf borderId="15" fillId="6" fontId="41" numFmtId="0" xfId="0" applyAlignment="1" applyBorder="1" applyFont="1">
      <alignment horizontal="center" vertical="center"/>
    </xf>
    <xf borderId="17" fillId="2" fontId="42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readingOrder="0" vertical="center"/>
    </xf>
    <xf borderId="0" fillId="2" fontId="24" numFmtId="0" xfId="0" applyAlignment="1" applyFont="1">
      <alignment horizontal="center" readingOrder="0" vertical="center"/>
    </xf>
    <xf borderId="44" fillId="2" fontId="24" numFmtId="0" xfId="0" applyAlignment="1" applyBorder="1" applyFont="1">
      <alignment horizontal="center" vertical="center"/>
    </xf>
    <xf borderId="44" fillId="2" fontId="23" numFmtId="0" xfId="0" applyAlignment="1" applyBorder="1" applyFont="1">
      <alignment horizontal="center" vertical="center"/>
    </xf>
    <xf borderId="44" fillId="5" fontId="23" numFmtId="0" xfId="0" applyAlignment="1" applyBorder="1" applyFont="1">
      <alignment horizontal="center" vertical="center"/>
    </xf>
    <xf borderId="43" fillId="2" fontId="21" numFmtId="0" xfId="0" applyAlignment="1" applyBorder="1" applyFont="1">
      <alignment shrinkToFit="0" vertical="center" wrapText="1"/>
    </xf>
    <xf borderId="15" fillId="10" fontId="43" numFmtId="0" xfId="0" applyAlignment="1" applyBorder="1" applyFont="1">
      <alignment horizontal="center" vertical="center"/>
    </xf>
    <xf borderId="45" fillId="2" fontId="25" numFmtId="0" xfId="0" applyBorder="1" applyFont="1"/>
    <xf borderId="38" fillId="0" fontId="44" numFmtId="0" xfId="0" applyAlignment="1" applyBorder="1" applyFont="1">
      <alignment horizontal="center" readingOrder="0" textRotation="255" vertical="center"/>
    </xf>
    <xf borderId="0" fillId="0" fontId="25" numFmtId="0" xfId="0" applyFont="1"/>
    <xf borderId="15" fillId="10" fontId="23" numFmtId="0" xfId="0" applyAlignment="1" applyBorder="1" applyFont="1">
      <alignment horizontal="center" vertical="center"/>
    </xf>
    <xf borderId="11" fillId="6" fontId="23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readingOrder="0" shrinkToFit="0" vertical="center" wrapText="1"/>
    </xf>
    <xf borderId="0" fillId="2" fontId="24" numFmtId="0" xfId="0" applyAlignment="1" applyFont="1">
      <alignment horizontal="center" readingOrder="0" shrinkToFit="0" vertical="center" wrapText="1"/>
    </xf>
    <xf borderId="44" fillId="2" fontId="24" numFmtId="0" xfId="0" applyAlignment="1" applyBorder="1" applyFont="1">
      <alignment horizontal="center" shrinkToFit="0" vertical="center" wrapText="1"/>
    </xf>
    <xf borderId="25" fillId="11" fontId="21" numFmtId="0" xfId="0" applyAlignment="1" applyBorder="1" applyFill="1" applyFont="1">
      <alignment horizontal="center" vertical="center"/>
    </xf>
    <xf borderId="0" fillId="0" fontId="45" numFmtId="0" xfId="0" applyAlignment="1" applyFont="1">
      <alignment horizontal="center"/>
    </xf>
    <xf borderId="15" fillId="0" fontId="23" numFmtId="0" xfId="0" applyAlignment="1" applyBorder="1" applyFont="1">
      <alignment horizontal="center"/>
    </xf>
    <xf borderId="25" fillId="12" fontId="21" numFmtId="0" xfId="0" applyAlignment="1" applyBorder="1" applyFill="1" applyFont="1">
      <alignment horizontal="center" vertical="center"/>
    </xf>
    <xf borderId="15" fillId="2" fontId="8" numFmtId="0" xfId="0" applyAlignment="1" applyBorder="1" applyFont="1">
      <alignment horizontal="center" readingOrder="0" vertical="center"/>
    </xf>
    <xf borderId="25" fillId="2" fontId="22" numFmtId="0" xfId="0" applyAlignment="1" applyBorder="1" applyFont="1">
      <alignment horizontal="center" readingOrder="0" vertical="center"/>
    </xf>
    <xf borderId="0" fillId="0" fontId="25" numFmtId="0" xfId="0" applyAlignment="1" applyFont="1">
      <alignment horizontal="left"/>
    </xf>
    <xf borderId="25" fillId="2" fontId="46" numFmtId="0" xfId="0" applyAlignment="1" applyBorder="1" applyFont="1">
      <alignment horizontal="center" readingOrder="0" vertical="center"/>
    </xf>
    <xf borderId="15" fillId="2" fontId="46" numFmtId="0" xfId="0" applyAlignment="1" applyBorder="1" applyFont="1">
      <alignment horizontal="center" readingOrder="0" vertical="center"/>
    </xf>
    <xf borderId="15" fillId="2" fontId="47" numFmtId="0" xfId="0" applyAlignment="1" applyBorder="1" applyFont="1">
      <alignment horizontal="center" readingOrder="0" vertical="center"/>
    </xf>
    <xf borderId="25" fillId="9" fontId="22" numFmtId="0" xfId="0" applyAlignment="1" applyBorder="1" applyFont="1">
      <alignment horizontal="center" readingOrder="0"/>
    </xf>
    <xf borderId="0" fillId="0" fontId="23" numFmtId="0" xfId="0" applyAlignment="1" applyFont="1">
      <alignment horizontal="center"/>
    </xf>
    <xf borderId="15" fillId="5" fontId="23" numFmtId="0" xfId="0" applyAlignment="1" applyBorder="1" applyFont="1">
      <alignment horizontal="center" shrinkToFit="0" vertical="center" wrapText="1"/>
    </xf>
    <xf borderId="46" fillId="2" fontId="23" numFmtId="0" xfId="0" applyAlignment="1" applyBorder="1" applyFont="1">
      <alignment horizontal="center" vertical="center"/>
    </xf>
    <xf borderId="1" fillId="5" fontId="48" numFmtId="0" xfId="0" applyAlignment="1" applyBorder="1" applyFont="1">
      <alignment horizontal="center"/>
    </xf>
    <xf borderId="46" fillId="2" fontId="24" numFmtId="0" xfId="0" applyAlignment="1" applyBorder="1" applyFont="1">
      <alignment horizontal="center" vertical="center"/>
    </xf>
    <xf borderId="46" fillId="5" fontId="23" numFmtId="0" xfId="0" applyAlignment="1" applyBorder="1" applyFont="1">
      <alignment horizontal="center" vertical="center"/>
    </xf>
    <xf borderId="0" fillId="2" fontId="6" numFmtId="0" xfId="0" applyAlignment="1" applyFont="1">
      <alignment horizontal="center" vertical="center"/>
    </xf>
    <xf borderId="0" fillId="2" fontId="7" numFmtId="0" xfId="0" applyAlignment="1" applyFont="1">
      <alignment horizontal="center" readingOrder="0" vertical="center"/>
    </xf>
    <xf borderId="0" fillId="2" fontId="8" numFmtId="164" xfId="0" applyAlignment="1" applyFont="1" applyNumberFormat="1">
      <alignment horizontal="center" shrinkToFit="0" vertical="center" wrapText="1"/>
    </xf>
    <xf borderId="0" fillId="6" fontId="22" numFmtId="0" xfId="0" applyAlignment="1" applyFont="1">
      <alignment horizontal="center" readingOrder="0" shrinkToFit="0" vertical="center" wrapText="1"/>
    </xf>
    <xf borderId="42" fillId="9" fontId="22" numFmtId="0" xfId="0" applyAlignment="1" applyBorder="1" applyFont="1">
      <alignment horizontal="center" readingOrder="0" shrinkToFit="0" vertical="center" wrapText="1"/>
    </xf>
    <xf borderId="5" fillId="2" fontId="7" numFmtId="0" xfId="0" applyAlignment="1" applyBorder="1" applyFont="1">
      <alignment horizontal="center" readingOrder="0" vertical="center"/>
    </xf>
    <xf borderId="1" fillId="2" fontId="8" numFmtId="164" xfId="0" applyAlignment="1" applyBorder="1" applyFont="1" applyNumberFormat="1">
      <alignment horizontal="center" readingOrder="0" shrinkToFit="0" vertical="center" wrapText="1"/>
    </xf>
    <xf borderId="17" fillId="2" fontId="8" numFmtId="164" xfId="0" applyAlignment="1" applyBorder="1" applyFont="1" applyNumberFormat="1">
      <alignment shrinkToFit="0" vertical="center" wrapText="1"/>
    </xf>
    <xf borderId="11" fillId="5" fontId="23" numFmtId="0" xfId="0" applyAlignment="1" applyBorder="1" applyFont="1">
      <alignment horizontal="center" vertical="center"/>
    </xf>
    <xf borderId="23" fillId="5" fontId="14" numFmtId="164" xfId="0" applyAlignment="1" applyBorder="1" applyFont="1" applyNumberFormat="1">
      <alignment horizontal="center" shrinkToFit="0" vertical="center" wrapText="1"/>
    </xf>
    <xf borderId="8" fillId="3" fontId="24" numFmtId="0" xfId="0" applyAlignment="1" applyBorder="1" applyFont="1">
      <alignment horizontal="center" readingOrder="0" vertical="center"/>
    </xf>
    <xf borderId="12" fillId="3" fontId="49" numFmtId="0" xfId="0" applyAlignment="1" applyBorder="1" applyFont="1">
      <alignment horizontal="center" readingOrder="0" vertical="center"/>
    </xf>
    <xf borderId="13" fillId="3" fontId="49" numFmtId="0" xfId="0" applyAlignment="1" applyBorder="1" applyFont="1">
      <alignment horizontal="center" readingOrder="0" vertical="center"/>
    </xf>
    <xf borderId="24" fillId="3" fontId="49" numFmtId="0" xfId="0" applyAlignment="1" applyBorder="1" applyFont="1">
      <alignment horizontal="center" readingOrder="0" vertical="center"/>
    </xf>
    <xf borderId="12" fillId="4" fontId="49" numFmtId="0" xfId="0" applyAlignment="1" applyBorder="1" applyFont="1">
      <alignment horizontal="center" readingOrder="0" vertical="center"/>
    </xf>
    <xf borderId="13" fillId="4" fontId="49" numFmtId="0" xfId="0" applyAlignment="1" applyBorder="1" applyFont="1">
      <alignment horizontal="center" readingOrder="0" vertical="center"/>
    </xf>
    <xf borderId="14" fillId="4" fontId="49" numFmtId="0" xfId="0" applyAlignment="1" applyBorder="1" applyFont="1">
      <alignment horizontal="center" readingOrder="0" vertical="center"/>
    </xf>
    <xf borderId="18" fillId="2" fontId="6" numFmtId="0" xfId="0" applyAlignment="1" applyBorder="1" applyFont="1">
      <alignment horizontal="center" vertical="center"/>
    </xf>
    <xf borderId="15" fillId="2" fontId="8" numFmtId="164" xfId="0" applyAlignment="1" applyBorder="1" applyFont="1" applyNumberFormat="1">
      <alignment shrinkToFit="0" vertical="center" wrapText="1"/>
    </xf>
    <xf borderId="15" fillId="0" fontId="8" numFmtId="164" xfId="0" applyAlignment="1" applyBorder="1" applyFont="1" applyNumberFormat="1">
      <alignment shrinkToFit="0" vertical="center" wrapText="1"/>
    </xf>
    <xf borderId="18" fillId="2" fontId="50" numFmtId="0" xfId="0" applyAlignment="1" applyBorder="1" applyFont="1">
      <alignment horizontal="center" vertical="center"/>
    </xf>
    <xf borderId="23" fillId="5" fontId="15" numFmtId="164" xfId="0" applyAlignment="1" applyBorder="1" applyFont="1" applyNumberFormat="1">
      <alignment horizontal="center" shrinkToFit="0" vertical="center" wrapText="1"/>
    </xf>
    <xf borderId="25" fillId="2" fontId="7" numFmtId="0" xfId="0" applyAlignment="1" applyBorder="1" applyFont="1">
      <alignment horizontal="center" readingOrder="0" shrinkToFit="0" vertical="center" wrapText="1"/>
    </xf>
    <xf borderId="28" fillId="8" fontId="24" numFmtId="0" xfId="0" applyAlignment="1" applyBorder="1" applyFont="1">
      <alignment horizontal="center" readingOrder="0" shrinkToFit="0" vertical="center" wrapText="1"/>
    </xf>
    <xf borderId="13" fillId="8" fontId="49" numFmtId="0" xfId="0" applyAlignment="1" applyBorder="1" applyFont="1">
      <alignment horizontal="center" readingOrder="0" vertical="center"/>
    </xf>
    <xf borderId="14" fillId="8" fontId="49" numFmtId="0" xfId="0" applyAlignment="1" applyBorder="1" applyFont="1">
      <alignment horizontal="center" readingOrder="0" vertical="center"/>
    </xf>
    <xf borderId="18" fillId="2" fontId="24" numFmtId="0" xfId="0" applyAlignment="1" applyBorder="1" applyFont="1">
      <alignment horizontal="center" readingOrder="0" vertical="center"/>
    </xf>
    <xf borderId="25" fillId="9" fontId="22" numFmtId="0" xfId="0" applyAlignment="1" applyBorder="1" applyFont="1">
      <alignment horizontal="center" readingOrder="0" vertical="center"/>
    </xf>
    <xf borderId="20" fillId="2" fontId="8" numFmtId="164" xfId="0" applyAlignment="1" applyBorder="1" applyFont="1" applyNumberFormat="1">
      <alignment shrinkToFit="0" vertical="center" wrapText="1"/>
    </xf>
    <xf borderId="15" fillId="2" fontId="8" numFmtId="0" xfId="0" applyAlignment="1" applyBorder="1" applyFont="1">
      <alignment horizontal="center" readingOrder="0" shrinkToFit="0" vertical="center" wrapText="1"/>
    </xf>
    <xf borderId="25" fillId="11" fontId="22" numFmtId="0" xfId="0" applyAlignment="1" applyBorder="1" applyFont="1">
      <alignment horizontal="center" readingOrder="0" vertical="center"/>
    </xf>
    <xf borderId="15" fillId="0" fontId="25" numFmtId="0" xfId="0" applyAlignment="1" applyBorder="1" applyFont="1">
      <alignment horizontal="center"/>
    </xf>
    <xf borderId="25" fillId="7" fontId="22" numFmtId="0" xfId="0" applyAlignment="1" applyBorder="1" applyFont="1">
      <alignment horizontal="center" readingOrder="0" vertical="center"/>
    </xf>
    <xf borderId="11" fillId="2" fontId="51" numFmtId="0" xfId="0" applyAlignment="1" applyBorder="1" applyFont="1">
      <alignment horizontal="center" vertical="center"/>
    </xf>
    <xf borderId="25" fillId="7" fontId="22" numFmtId="0" xfId="0" applyAlignment="1" applyBorder="1" applyFont="1">
      <alignment horizontal="center" readingOrder="0" vertical="center"/>
    </xf>
    <xf borderId="15" fillId="2" fontId="23" numFmtId="0" xfId="0" applyAlignment="1" applyBorder="1" applyFont="1">
      <alignment horizontal="center" vertical="center"/>
    </xf>
    <xf borderId="15" fillId="0" fontId="45" numFmtId="0" xfId="0" applyAlignment="1" applyBorder="1" applyFont="1">
      <alignment horizontal="center" readingOrder="0"/>
    </xf>
    <xf borderId="15" fillId="0" fontId="45" numFmtId="0" xfId="0" applyAlignment="1" applyBorder="1" applyFont="1">
      <alignment horizont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User" id="{25275a54-d09f-4332-8588-3400aff5d6a3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Q22" dT="2026-01-26T20:33:20.00" personId="{25275a54-d09f-4332-8588-3400aff5d6a3}" id="{a0b87f97-b784-427d-80d8-15abcaaaef1e}" done="0">
    <x18tc:text xml:space="preserve">User: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19" width="10.71"/>
    <col customWidth="1" min="20" max="20" width="15.29"/>
    <col customWidth="1" min="21" max="26" width="10.71"/>
  </cols>
  <sheetData>
    <row r="1" ht="41.25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1"/>
      <c r="S1" s="1"/>
      <c r="T1" s="5"/>
      <c r="U1" s="6"/>
      <c r="V1" s="6"/>
      <c r="W1" s="6"/>
      <c r="X1" s="6"/>
      <c r="Y1" s="6"/>
      <c r="Z1" s="6"/>
    </row>
    <row r="2" ht="14.2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1"/>
    </row>
    <row r="3" ht="14.25" customHeight="1">
      <c r="A3" s="7"/>
      <c r="B3" s="12" t="s">
        <v>1</v>
      </c>
      <c r="C3" s="13"/>
      <c r="D3" s="13"/>
      <c r="E3" s="13"/>
      <c r="F3" s="13"/>
      <c r="G3" s="13"/>
      <c r="H3" s="13"/>
      <c r="I3" s="13"/>
      <c r="J3" s="14"/>
      <c r="K3" s="15" t="s">
        <v>2</v>
      </c>
      <c r="L3" s="13"/>
      <c r="M3" s="13"/>
      <c r="N3" s="13"/>
      <c r="O3" s="13"/>
      <c r="P3" s="13"/>
      <c r="Q3" s="13"/>
      <c r="R3" s="13"/>
      <c r="S3" s="14"/>
      <c r="T3" s="11"/>
    </row>
    <row r="4" ht="14.25" customHeight="1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9" t="s">
        <v>4</v>
      </c>
      <c r="L4" s="19" t="s">
        <v>5</v>
      </c>
      <c r="M4" s="19" t="s">
        <v>6</v>
      </c>
      <c r="N4" s="19" t="s">
        <v>7</v>
      </c>
      <c r="O4" s="19" t="s">
        <v>8</v>
      </c>
      <c r="P4" s="19" t="s">
        <v>9</v>
      </c>
      <c r="Q4" s="19" t="s">
        <v>10</v>
      </c>
      <c r="R4" s="19" t="s">
        <v>11</v>
      </c>
      <c r="S4" s="20" t="s">
        <v>12</v>
      </c>
      <c r="T4" s="11"/>
    </row>
    <row r="5" ht="14.25" customHeight="1">
      <c r="A5" s="21" t="s">
        <v>13</v>
      </c>
      <c r="B5" s="22">
        <f>0+10-1+2+1+1+1-1-1+1+1+1-1-1+1+1+1-4+4+1-1-1+1+4+2-1+1-6+1+6-2+2-1-1+1-2+1+2-1+1-2</f>
        <v>21</v>
      </c>
      <c r="C5" s="22">
        <f>0+1+1+1+1+1-1-2-2+9+1+2-4-1+4-1-1+1+2+2+1+1-1-3-1+1+1+3-1-2-4-1+2-6+1-4-1+4-2+1+2-4+4-1+1-2+1+1-1+1-4-1+1+1-1+1-1+4-2+1-2+2+2-1-1-1-1+1+1+1+1-2+2-6+6-2+2-1-1+1+1-4-1-1+4-1-1+1+1-1+1+1+1-6</f>
        <v>0</v>
      </c>
      <c r="D5" s="23">
        <f>0+18-1+8-3+1+2+1+3-1+4+1-1-1+1+1+1-1-3-2-1-5-1+3+2+1+1-5+5+1-1+1-1+1-1-3-2-1+3-1-1-1-4-11+1+1+4-1-1+1-2+1+1+1-2-1+2+1+19+1+4-1+1-1-1+1-1-10+1+1+5-2-1+2-2-2+1-6+2+2-1+6+2-4-2+1+2+4-18+18-1+1-1-1+1+1-3-1+3-1-4-1+1+1+1+4-1+1-3-3+3-1</f>
        <v>30</v>
      </c>
      <c r="E5" s="22">
        <f>0+1+5+1-4-1-1+4+1-3+3-1-3+10+1+1-2-6+6-1-1-1-1+1-2-2+1+1+1+2+2+1-1+1+1-1-1-1+1+1+1+1+2+1-2+2-1+3-8+1-1+1+1+1-1-1-6+1+1+6-2-1+1-1+1+1-6+1+6-1+1-1-1+1-3-1+1-4+1+3+4-1+1-3</f>
        <v>12</v>
      </c>
      <c r="F5" s="22">
        <f>0+15+1+1+4-1+1-2+2-1-1-1+1-1+1+1+1-1+1-1+1-1-1-1+1-1-1+1+1+1-3-1-2+3+1-1+2+1+1+5-1-2+1+1-1-1+1+1-5-1-2+1-2+2+2-1+1-2-1</f>
        <v>17</v>
      </c>
      <c r="G5" s="22">
        <f>0+27-1+1-3+3-1+1-1-2-1+2+1-1+1-4+1+1+1+1-1+1-1</f>
        <v>25</v>
      </c>
      <c r="H5" s="22">
        <f>0+19+1-1+1-2+2+1-1+1-1</f>
        <v>20</v>
      </c>
      <c r="I5" s="22">
        <f>0+8-1+1-1+1-1</f>
        <v>7</v>
      </c>
      <c r="J5" s="22">
        <f>0+10-1+1-1+1-1+1</f>
        <v>10</v>
      </c>
      <c r="K5" s="22">
        <f>28-1+1-1+1-4-1+4</f>
        <v>27</v>
      </c>
      <c r="L5" s="22">
        <f>35+1-1+1-4+1-12+12+4-2-1+1+2-4+4-1-1+1+1-6-1-2-1-2+2+1+6+1</f>
        <v>35</v>
      </c>
      <c r="M5" s="22">
        <f>0+8-1-2+1-1+1+1+1+1-2-1-2-1+2+2+2+2+1+1+2-1+8-1-12+12+1-1-9-1+2+9+1-3-3-1-1+1+3+1-1-7+7+1+1-2-1-2-2+2+1+2+2+10-1-1-1+1+1-1+1-6-2+1-1-2+6+2-1+1+3-5-2-6-2-2-1+2+5-2+2+1-4-10-2+2-2-5+1+2-2+4+2-2+10+2+2+7+2+4+2+2+2-6-1+6-6-2+2-1+1+2+2-1-1-26+6+1+1+1+16+6+1-2-15+4+4+15-2+2-8-1-1+8-1-6-10+1+1-2-1-3+10+6+3+2-4-1-1+4-1-1+1+1+1-3+1-2+3+2-2-2-4-4+1+2+4-30+1+30+4-3-1-3-2-4+3+1+3-1-2-1+2+1+4-1-1+1+2-2-1+1+1-1-4-1+2+1-2+1+1+4-1-1+2+1-1-8+1+1-4-3-3+4+8+1+3</f>
        <v>41</v>
      </c>
      <c r="N5" s="22">
        <f>53-1-2+3-4+2+1-1-12+3-1+12+1+4-2-5+1-2-2+6+2-1-1-2-1+2+1-3+2+1-2+3+1+2-2-3+2-4+1+3+2-1+4+1-6-2+6</f>
        <v>59</v>
      </c>
      <c r="O5" s="22">
        <f>0+1+1+1+3+3+2-1-1-1+7-1-1-6+1+1+2+1+6+1-8+8-1-1-1+1+1-4-1+4+1-1+1+1-2+2-4-2+4+2-3-2-2-1-1+2-4-1-1-2+1-2+2+1-1+2+2+1-4+4+4-3-5+1-1-1+1+1-3-1+5+3+1+1+1-3-1-5+6+1+5+1-1-1+1+1-1-1+1-1-8-1-7+1+1-2+7+8+2-1+1-3+3-2+2+1-4-1+4-1+1-2+1-1-4+2+4+1-1-1-1-2-1+2+1+1+1+1-2-1+2+1-2-1-1+2+1</f>
        <v>17</v>
      </c>
      <c r="P5" s="22">
        <f>0+21+1-1+3-1+1+3-1+1-10-2+10+1-2+2+2-2+2-1+1-2-1+1+2-2-1-1+1+1-1+1-2-2+2-1+2-1+1-2-1-1+1+1+2+1-7+1+3+1-5+5+1+5-1+1+2-6-2-1+6+1-1+1-2-2-1+2+1+2-1+1-1-4+4+1-2+2-1+1-2+2</f>
        <v>30</v>
      </c>
      <c r="Q5" s="22">
        <f>0+17-1+1-1+1-1+1-1-1-1+1+1+1-1+1-2-2-1+2+2+2+1-4+1-5+1+5-1+1-1+1-2+2-1-1-1+1+1+1-4-1+4+1</f>
        <v>17</v>
      </c>
      <c r="R5" s="22">
        <f>0+2+1-2+2-3+1+1+1+1-2-1+1+1-2+2</f>
        <v>3</v>
      </c>
      <c r="S5" s="22">
        <f>0+8-1+1-3-2+2-1+1+1-1-1+1-1+1-1</f>
        <v>4</v>
      </c>
      <c r="T5" s="24">
        <f t="shared" ref="T5:T29" si="1">SUM(B5:S5)</f>
        <v>375</v>
      </c>
    </row>
    <row r="6" ht="21.0" customHeight="1">
      <c r="A6" s="21" t="s">
        <v>14</v>
      </c>
      <c r="B6" s="22">
        <f>0+20-1+1-1+4-2+2+2-1-1-1+1+1-1-2+1+2+1</f>
        <v>25</v>
      </c>
      <c r="C6" s="22">
        <f>0+19+1-1+1-1+1-3+3+1-1-2+1+1+2-1+1-1+1-2+2+2-1-1-11+1-1+16+1+28-30+30-3-3+3-1+1-4-1-1+4+1+1-2</f>
        <v>51</v>
      </c>
      <c r="D6" s="22">
        <f>0+22+1-1+1-1+5+1-6-3-2+3+6+2+1-1-1+1+3+1+1-5-1-2+2+5+1-2+2-1-1+1-2+11-3+1-1+3+2-4-1+1+4-1-3-6+3+5-6+32-42+42+1-1+1-1-1-1+1+1+1-1+1-4+4-1-1+1-3-1+1+1+3+1-2+1+2-2-6+6</f>
        <v>68</v>
      </c>
      <c r="E6" s="22">
        <f>0+33-1+1+1+5-4+4+1-2-1+1+2-3+3+1-1+1+1-1-1-1+1-1+1-3+8+3+12-29+29-1+1-1-1+1-1-1+1+1-1-1+1+1+1+1-3</f>
        <v>58</v>
      </c>
      <c r="F6" s="22">
        <f>15+1-1+5+1-2+2-1+1-1+1-1+1-1-1+1+1+1-2+2+3+8-19+19-1-1+1-1+1-1-2+1+1-2-1+2+1+2+1+3-1</f>
        <v>36</v>
      </c>
      <c r="G6" s="22">
        <f>0+17-3+3+1-1+1+11+4-5+5-1+1-1+1</f>
        <v>33</v>
      </c>
      <c r="H6" s="22">
        <f>0+11-1+1+2-1+1-1-1+1+1</f>
        <v>13</v>
      </c>
      <c r="I6" s="22">
        <f>0+8-1+1+1-1</f>
        <v>8</v>
      </c>
      <c r="J6" s="22">
        <f>0+10-1+1-2-1-1+1</f>
        <v>7</v>
      </c>
      <c r="K6" s="22">
        <f>0+11-1+1+4-1+1-4+4-15+15-1</f>
        <v>14</v>
      </c>
      <c r="L6" s="22">
        <f>0+4-4+2+4+40-2-3-1-1+3+2+1+1-1+1-2-1-1-1-5-1+2-12+1+1+1-3+5-1+1+3-10+1+10+10-1+1-40-1+40-12+1+12-4-1-1+4+1+1-1+1-3-1+1+3-1+1-3</f>
        <v>41</v>
      </c>
      <c r="M6" s="25">
        <f>0+4+1-2-1-1-1+7+1+2+1+2+3-2+42-3+2+3-3-1+3-4+1-1+1-1-5-1+4+1+1+5+1-2-6-1+6-2+1+2+2+2-3+3-2-1-1-2-1+1+2-11-1+1+11-2-2+1+1+2+2-5+1-26-5+5-10-10+2+10+10-1+43+6-2-2-70-1+70+1-4-1+4+1-2+2-1-2+2-1-1-2+1+1-1-1-2-1+2+1-1+1+1-2-2+1+1-1+2-3+1-4-1+4+1</f>
        <v>68</v>
      </c>
      <c r="N6" s="22">
        <f>14-3-3-1+3+3+1+3+1-2-1-1+2+1+1-1-2-1+1-2-1+1+2+1+2-1-8+8-1-1-2-1+1+1-3+1+1-1-2+2+1-10-1+3+10+1-10-15+1+15+10+44+1+7+5+2-38+2+38-4+4-1-2-1+2+1+1-1-1+1-2-1+1-1-2-2+2+1+1-1+1-1-2-1-1+2+2+1+2+1+1+2-6+1+1-1+6-2+1-4+4</f>
        <v>80</v>
      </c>
      <c r="O6" s="22">
        <f>0+12-1+2+1-1+22-1-3+1+3-1-1+1+1+1-2-4+2+4-1-2+1-1+2+1+1-2-1-1-3-5+1-1-3+3+1-3-6-1-1+5-6+1+1-1+1-5+1+5+8-3-22+22+3-1+1-1+1-3-1+3-1-1+1-3-1+1+1+1-1-1+1-1-2+1-1+1-1-1+1+1+1</f>
        <v>20</v>
      </c>
      <c r="P6" s="22">
        <f>0+18+1-1+3+1+15-1+1-1+1+1-1-1-1+1-1+1-6-1+6+1+5-1+1+1-1+1+1-5-5+5+5+8-14-14+14-3-1+3+1+1-1-1-3+1-1+3+1</f>
        <v>37</v>
      </c>
      <c r="Q6" s="22">
        <f>0+8-1+1-1+1-1+1-2+2-5+5-1+1-1+1-3+3</f>
        <v>8</v>
      </c>
      <c r="R6" s="26">
        <f>0+1+1-2+1-1+1</f>
        <v>1</v>
      </c>
      <c r="S6" s="22">
        <f>0+8-1-2-1+1-1+1</f>
        <v>5</v>
      </c>
      <c r="T6" s="24">
        <f t="shared" si="1"/>
        <v>573</v>
      </c>
    </row>
    <row r="7" ht="14.25" customHeight="1">
      <c r="A7" s="21" t="s">
        <v>15</v>
      </c>
      <c r="B7" s="22">
        <f>0+11-1+1</f>
        <v>11</v>
      </c>
      <c r="C7" s="22">
        <f>0+12+1-1+1+2-1+1-3+3-2+1+1+1-1+1-1+1+1-1</f>
        <v>16</v>
      </c>
      <c r="D7" s="22">
        <f>0+19-1+1-1+1+1-1+1-1+1-3-10+10+6-3+3-1+1-1+1-2-2+2-2</f>
        <v>19</v>
      </c>
      <c r="E7" s="22">
        <f>0+25+1-1+1-1+1-1-1-24+24+1-5+5+1-1+1-1+1</f>
        <v>26</v>
      </c>
      <c r="F7" s="22">
        <f>0+18+1+1-1-1+1+1-20+20-3+3-1-1+1-2+2</f>
        <v>19</v>
      </c>
      <c r="G7" s="22">
        <f>0+27-1+1-1-4-1+4+1+1-2-1+1+1</f>
        <v>26</v>
      </c>
      <c r="H7" s="22">
        <f>0+21-1+1</f>
        <v>21</v>
      </c>
      <c r="I7" s="22">
        <f>0+9-2+1</f>
        <v>8</v>
      </c>
      <c r="J7" s="22">
        <f>0+8+1</f>
        <v>9</v>
      </c>
      <c r="K7" s="22">
        <f>0+26-1+1-1</f>
        <v>25</v>
      </c>
      <c r="L7" s="22">
        <f>0+38-1+1-2+2+1+4-2-1+2+1-1+1-2+2-1+1-5-3+4+1+3-3+3-9+9-1</f>
        <v>42</v>
      </c>
      <c r="M7" s="22">
        <f>0+47-1+1-1-3+1+3+1-1+1-1-1-1+1+1+1-1+1-3+3-2+2-1+3-3+1-1-1+1+3+1-4+4-2-8+8-1+1-1-1+1-2+2-1-3-2+1</f>
        <v>43</v>
      </c>
      <c r="N7" s="22">
        <f>0+31-1+1+2+1-2+2+1-3-3+3+2-2-1+2-1+1+1-1-1+1+1-2+2-2+2-3-5-2-4+2+5+3+4+5-7+1+1-1+1-8-6+2+6+8-1+1-2+2-5-1</f>
        <v>30</v>
      </c>
      <c r="O7" s="22">
        <f>0+19-1-2-3+1+2+3-1-1+4-1+1-3+1+3-1+1-1+1-4-2-2+2+4+2-10-1+1+10+1-9-1+1+10-1+1-2+2-1+1-1+1-1-1+1</f>
        <v>23</v>
      </c>
      <c r="P7" s="22">
        <f>0+14+1-1+1-1+1+1-1+1-1+1-2+1+14+2+1+2-1-13+1-2-1-1+2+1+1-3+3-1</f>
        <v>20</v>
      </c>
      <c r="Q7" s="22">
        <f>0+14+1-1-1+1+1-1-1+1+1-12+5+4-5+5</f>
        <v>12</v>
      </c>
      <c r="R7" s="22">
        <f>0+12-1-1+1+1</f>
        <v>12</v>
      </c>
      <c r="S7" s="22">
        <f>0+14+4+6+1-12+1+60+40-1+1-1</f>
        <v>113</v>
      </c>
      <c r="T7" s="24">
        <f t="shared" si="1"/>
        <v>475</v>
      </c>
    </row>
    <row r="8" ht="14.25" customHeight="1">
      <c r="A8" s="21" t="s">
        <v>16</v>
      </c>
      <c r="B8" s="22">
        <f>0+11-1+1-1+1-1+1</f>
        <v>11</v>
      </c>
      <c r="C8" s="22">
        <f>0+25-1+1-2+2-1+1+1-1+1-1-1+1+1-1+1+1-2-1+1+1</f>
        <v>26</v>
      </c>
      <c r="D8" s="22">
        <f>0+22-1+1-1-1+1+1-4+4-1-1+1-1+1-6+1+1+6+1+1-2+2-1-2+1-3+3</f>
        <v>23</v>
      </c>
      <c r="E8" s="22">
        <f>0+26-1+1-1+1+1-2+1+2-1+1-1+1-1+1-1+1-1+1-1+1+1-2+2-1+1-7+7</f>
        <v>29</v>
      </c>
      <c r="F8" s="27">
        <f>0+24+1+1-5+1-1+1+5-1-1+1+1+2-1+1-8-2+2-3+3</f>
        <v>21</v>
      </c>
      <c r="G8" s="22">
        <f>0+19-2+2-1-1+1-3+3</f>
        <v>18</v>
      </c>
      <c r="H8" s="22">
        <f>0+9+10</f>
        <v>19</v>
      </c>
      <c r="I8" s="22">
        <f>0+10-2</f>
        <v>8</v>
      </c>
      <c r="J8" s="22">
        <f>0+7-1+1-1+1+1</f>
        <v>8</v>
      </c>
      <c r="K8" s="22">
        <f>0+21-1-1+1+1</f>
        <v>21</v>
      </c>
      <c r="L8" s="22">
        <f>0+31+1+1+1-1-1+1+1-1-3-4+3+7-1+1-1+1-3+3</f>
        <v>36</v>
      </c>
      <c r="M8" s="22">
        <f>1+41-2-2+6+2-1-1+1+1-1+1-1+1-2+2-1-3+1+3</f>
        <v>46</v>
      </c>
      <c r="N8" s="22">
        <f>0+28+1+6+6-1-1-2+1+2-1-1-1+1+1+1+1-1-4+1+4-2-3-8+2-1+1+3+6+1-8-2+2+2+8-2+2-1+1-2+2</f>
        <v>42</v>
      </c>
      <c r="O8" s="22">
        <f>0+37+3+2-2+6+2-1-1-1-1+1+1+1-3-1+1+3+1-1+1-1-2-2+1+2+2-2-1-5-4+1+5-1+1+1-1-1+1-1+1</f>
        <v>42</v>
      </c>
      <c r="P8" s="22">
        <f>0+17+3+3-1-1+1-1+1-1-2-1+1+1+4-2+2-1+1-1+1</f>
        <v>24</v>
      </c>
      <c r="Q8" s="22">
        <f>0+13-1+1-1+1-1-1-2+1+1+2-3+2-1+1</f>
        <v>12</v>
      </c>
      <c r="R8" s="22">
        <f>0+10-1+1-1-1-1+1+1+1-1+1</f>
        <v>10</v>
      </c>
      <c r="S8" s="22">
        <f>0+8-1</f>
        <v>7</v>
      </c>
      <c r="T8" s="24">
        <f t="shared" si="1"/>
        <v>403</v>
      </c>
    </row>
    <row r="9" ht="14.25" customHeight="1">
      <c r="A9" s="21" t="s">
        <v>17</v>
      </c>
      <c r="B9" s="22">
        <f>0+8-1+1-2+2-1+1-2+2</f>
        <v>8</v>
      </c>
      <c r="C9" s="22">
        <f>0+33-2+2-1+1+1-1+1-1-5+5-1-2+1+1-5+1+2</f>
        <v>30</v>
      </c>
      <c r="D9" s="22">
        <f>26+2-1+1-1-1-1+1-1+1+1-1+1-8+1-3+8-1</f>
        <v>24</v>
      </c>
      <c r="E9" s="22">
        <f>0+25-2+5+2-1+1-1-1+1+1+1-1-1+1+1-1+1-1+1-3</f>
        <v>28</v>
      </c>
      <c r="F9" s="22">
        <f>0+16+5-1+1+1-1+1-1-1-1+1+1+1+1-2+2-1-1+1-2-2+2</f>
        <v>20</v>
      </c>
      <c r="G9" s="22">
        <f>0+10-4+7-1</f>
        <v>12</v>
      </c>
      <c r="H9" s="22">
        <f>0+28-1+1-1+1-9+3+2-1</f>
        <v>23</v>
      </c>
      <c r="I9" s="22">
        <f>0+10-1</f>
        <v>9</v>
      </c>
      <c r="J9" s="22">
        <f>0+9</f>
        <v>9</v>
      </c>
      <c r="K9" s="22">
        <f>0+10+5-1</f>
        <v>14</v>
      </c>
      <c r="L9" s="22">
        <f>0+33-1+1+5+1-9+4-1-1-4-1+1+1+4+1</f>
        <v>34</v>
      </c>
      <c r="M9" s="23">
        <f>0+54-1+1+6-1+1+9-3-1-2+2+3+1-1-1+1+1+1-1-1+1+1-13+4-1-9+9-1+1-4-2+2+4-1-4-3+1+4+3-2-1-1+2+1-1-1+1+1+1</f>
        <v>60</v>
      </c>
      <c r="N9" s="22">
        <f>0+25-10+1-1+10+5-2+1+2+4-1-2+1+2-2+2-1+1-4+5-10+10-5-1+1+5-4-3-5+4+3+5-1+1-1-1+1+1-1-2-2+1+2+2</f>
        <v>36</v>
      </c>
      <c r="O9" s="22">
        <f>0+34-1+1-1+5+1-1+1-2-2+2+2-2-1-3+6-3+3-4-1+4+1-4-1+4+1-1+1-3+1-2+3+2-1-1-1+1+1</f>
        <v>39</v>
      </c>
      <c r="P9" s="22">
        <f>0+23+1-2-6+1+2-1-1+1+1+1+5-1+1-2-2+2+2-4+4</f>
        <v>25</v>
      </c>
      <c r="Q9" s="22">
        <f>0+29+2-1+1+5-6-1+1</f>
        <v>30</v>
      </c>
      <c r="R9" s="22">
        <f>18-1-1+1-2+2</f>
        <v>17</v>
      </c>
      <c r="S9" s="22">
        <f>0+19-2+2+1-1</f>
        <v>19</v>
      </c>
      <c r="T9" s="24">
        <f t="shared" si="1"/>
        <v>437</v>
      </c>
    </row>
    <row r="10" ht="14.25" customHeight="1">
      <c r="A10" s="21" t="s">
        <v>18</v>
      </c>
      <c r="B10" s="22">
        <f>0+12+3-1+1-2+3+2</f>
        <v>18</v>
      </c>
      <c r="C10" s="22">
        <f>0+12-4+3+4-2-9+9-2+4+2-1-1+1+1-1+1-1+1-4+4-2-1+2+1-2+2-1+1-1+1-1-1+1+1-2+2</f>
        <v>17</v>
      </c>
      <c r="D10" s="22">
        <f>0+36-1+3+5+1-1+1-1-3+1-1+1-2-16+16+6-3+3-1+1-2-1+1-1</f>
        <v>42</v>
      </c>
      <c r="E10" s="22">
        <f>0+40-1+3+5+1-1+1-3-1+1-1+1-5+5-1+1+3-1+1-1-2-1-1+1+1+1</f>
        <v>46</v>
      </c>
      <c r="F10" s="22">
        <f>0+27+3+5-1-1-1+1+1+1-3+3-1+1-1+1</f>
        <v>35</v>
      </c>
      <c r="G10" s="22">
        <f>0+21+3+1-1+1-2-1+2-2+2-1-1</f>
        <v>22</v>
      </c>
      <c r="H10" s="22">
        <f>0+19+1-1+1-1+1+1</f>
        <v>21</v>
      </c>
      <c r="I10" s="22">
        <f>0+9-1+1</f>
        <v>9</v>
      </c>
      <c r="J10" s="22">
        <f>0+5</f>
        <v>5</v>
      </c>
      <c r="K10" s="22">
        <f>0+15+3-1+1-1</f>
        <v>17</v>
      </c>
      <c r="L10" s="22">
        <f>0+31-1+3+1-2-1+1-1-5+5-1+1+3-1-2+1+2-5-4+4-1-1+1</f>
        <v>28</v>
      </c>
      <c r="M10" s="22">
        <f>0+35-2+3+2+6-16+16-3-1-1+1-1-1-1+1+1-1+2+1-22+22-2+2-2+2+3+1-2+1-2+2-8+8-1+1-4+4-1-2+1+2+2-1-2-2+1+2</f>
        <v>44</v>
      </c>
      <c r="N10" s="22">
        <f>0+55+3-3+3-1+3+5-2+1+2-1-1+1-1+1-1-1-4+1+1+4-1-1-1-3+1-41-1+41+1+1+1+3-2-1+2+1+3+2-1+2+1-1-2+2+2-4-4+4-2-2+2+2-1+1+1-1+2+1-1</f>
        <v>71</v>
      </c>
      <c r="O10" s="22">
        <f>0+18-2+3+5-1-1+1-2+2-16+16+1+3-1+2-1-1-1+1-2+1+2</f>
        <v>27</v>
      </c>
      <c r="P10" s="22">
        <f>0+20+3+6-1+1-6+6-10-1-1+1</f>
        <v>18</v>
      </c>
      <c r="Q10" s="22">
        <f>0+11-1+1-2+2-1+1-1+1+2</f>
        <v>13</v>
      </c>
      <c r="R10" s="22">
        <f>0+8+1</f>
        <v>9</v>
      </c>
      <c r="S10" s="22">
        <f>0+7-1+1</f>
        <v>7</v>
      </c>
      <c r="T10" s="24">
        <f t="shared" si="1"/>
        <v>449</v>
      </c>
    </row>
    <row r="11" ht="14.25" customHeight="1">
      <c r="A11" s="21" t="s">
        <v>19</v>
      </c>
      <c r="B11" s="22">
        <f>0+12-1+1</f>
        <v>12</v>
      </c>
      <c r="C11" s="22">
        <f>0+16-1-2+1+2-1+1-1+1-1+1-1+1-1-1+1+1-1+1-4</f>
        <v>12</v>
      </c>
      <c r="D11" s="22">
        <f>0+22-4+4-1+1-1+1-3+4-1+1-8+2+8-1-1+1-1+1-1+1-8</f>
        <v>16</v>
      </c>
      <c r="E11" s="22">
        <f>0+28-1-1+1-1+1-1-2+2-1+1-2+2+1-2+2-1+1-1-1+1+1-6</f>
        <v>21</v>
      </c>
      <c r="F11" s="22">
        <f>0+12+1-2+2-1+1-4-1-1-1+4+1+1-2-1+2+1-2-1+2+1-1+1-2+1+2-1+1</f>
        <v>13</v>
      </c>
      <c r="G11" s="22">
        <f>0+18-4+4-6-2</f>
        <v>10</v>
      </c>
      <c r="H11" s="22">
        <f>0+1-1+1-1+7</f>
        <v>7</v>
      </c>
      <c r="I11" s="22">
        <f>0+8</f>
        <v>8</v>
      </c>
      <c r="J11" s="22">
        <f>0+7+1-2+1</f>
        <v>7</v>
      </c>
      <c r="K11" s="22">
        <f>0+17-1+1-1</f>
        <v>16</v>
      </c>
      <c r="L11" s="22">
        <f>0+24+1-6+1+9-1+1-1-1+2+1+1-1+1-1+1-1-1-3+3+1-1-1</f>
        <v>28</v>
      </c>
      <c r="M11" s="22">
        <f>0+13-1+8+5+1-3+4+11+1-1-2-3-1+1+2+1+3-1-1+1+1-1+1-1+1-2+1-4+4-1+1-2+2-1-1-3+1+1-1+1+3-4+4-1-10+1</f>
        <v>28</v>
      </c>
      <c r="N11" s="22">
        <f>0+15+3+2-6+2+16-1+1-3+3+1-1-4+1-1+4-1+1+1-1-1-1+1-1-1+1-2+2-1-1+1+1+1-3+3-2-10+10+2-1+1-2-1-1+2+1+1-11</f>
        <v>20</v>
      </c>
      <c r="O11" s="22">
        <f>0+19-6+2+6-2+5-1-2-1+1+2-2-1+1+1+2-2+2+1-2+2-1+1-1-1-1-8+1</f>
        <v>15</v>
      </c>
      <c r="P11" s="22">
        <f>0+7-1+2-1+1-1+1-1+1+3-1+1+1-4-1+4+1-3</f>
        <v>9</v>
      </c>
      <c r="Q11" s="22">
        <f>0+16-1+1-2-1+1-1-1+1</f>
        <v>13</v>
      </c>
      <c r="R11" s="22">
        <f>0+7+1-1-2+2+1+1-1+1</f>
        <v>9</v>
      </c>
      <c r="S11" s="22">
        <f>0+7-1+1-1+1</f>
        <v>7</v>
      </c>
      <c r="T11" s="24">
        <f t="shared" si="1"/>
        <v>251</v>
      </c>
    </row>
    <row r="12" ht="14.25" customHeight="1">
      <c r="A12" s="21" t="s">
        <v>20</v>
      </c>
      <c r="B12" s="28">
        <f>11-1-2-2+2-1-1+1+1</f>
        <v>8</v>
      </c>
      <c r="C12" s="28">
        <f>24+1+1-1-4+4</f>
        <v>25</v>
      </c>
      <c r="D12" s="28">
        <f>24+1+1+7-1+1+3-3-1-2+1+2-3-1+3+1</f>
        <v>33</v>
      </c>
      <c r="E12" s="28">
        <f>25+1+1+1+1-4-2+2-1-2+1+2</f>
        <v>25</v>
      </c>
      <c r="F12" s="28">
        <f>17+1-1+1+1-2+2</f>
        <v>19</v>
      </c>
      <c r="G12" s="28">
        <f>18+1-1+1-2</f>
        <v>17</v>
      </c>
      <c r="H12" s="28">
        <f>15-1</f>
        <v>14</v>
      </c>
      <c r="I12" s="28">
        <f>4</f>
        <v>4</v>
      </c>
      <c r="J12" s="29">
        <f>7</f>
        <v>7</v>
      </c>
      <c r="K12" s="26">
        <f>1+16-2+1+2-1+1+1+1-6</f>
        <v>14</v>
      </c>
      <c r="L12" s="26">
        <f>11+36+1-9+11-5+5</f>
        <v>50</v>
      </c>
      <c r="M12" s="26">
        <f>31+14+5-1+1-1+1-26+1-1+1+1-1-1+1+1</f>
        <v>26</v>
      </c>
      <c r="N12" s="26">
        <f>27+33+1+2-1-1+1-1+1+1-1+2+2-1+1-34-1-2+1+2-2+2-3+3</f>
        <v>32</v>
      </c>
      <c r="O12" s="26">
        <f>17+33-2+2-1+1-2+1+1+1-18+17</f>
        <v>50</v>
      </c>
      <c r="P12" s="26">
        <f>8+14+8-1+1</f>
        <v>30</v>
      </c>
      <c r="Q12" s="26">
        <f>2+19-6+2-1+1</f>
        <v>17</v>
      </c>
      <c r="R12" s="26">
        <f>0+5-1+1+5</f>
        <v>10</v>
      </c>
      <c r="S12" s="26">
        <f>0+11+1</f>
        <v>12</v>
      </c>
      <c r="T12" s="24">
        <f t="shared" si="1"/>
        <v>393</v>
      </c>
    </row>
    <row r="13" ht="14.25" customHeight="1">
      <c r="A13" s="21" t="s">
        <v>21</v>
      </c>
      <c r="B13" s="30">
        <f>0+8-1+1-1-1-1+1-2+2-2</f>
        <v>4</v>
      </c>
      <c r="C13" s="30">
        <f>0+24-4+1-2-2+1+1-1+1+2+4+3-1-1-1+1+1-2+2-1+1-2+2-6</f>
        <v>21</v>
      </c>
      <c r="D13" s="30">
        <f>0+12+3+2-1-4-2-3-1+4+1+2+3+1-2-1-2+1+2+2-1+1+6-1+1+1+1-3-1+3-1+1-1+1-4+4-3-1</f>
        <v>20</v>
      </c>
      <c r="E13" s="30">
        <f>0+18-2+1+2-1+1-3+3-1+1+2+3-1-1+1+1-3+2+3-1+1-3-1</f>
        <v>22</v>
      </c>
      <c r="F13" s="30">
        <f>0+10+1+4-1+1-5+5-1+1-1-1+1+1-1+1-2+2-3</f>
        <v>12</v>
      </c>
      <c r="G13" s="30">
        <f>0+7+2-1+5+1-1+1-1+1-5-1</f>
        <v>8</v>
      </c>
      <c r="H13" s="30">
        <f>0+9+1-2+2-1</f>
        <v>9</v>
      </c>
      <c r="I13" s="30">
        <f>0+8-1</f>
        <v>7</v>
      </c>
      <c r="J13" s="30">
        <f>0+9-1</f>
        <v>8</v>
      </c>
      <c r="K13" s="22">
        <f>0+12-1</f>
        <v>11</v>
      </c>
      <c r="L13" s="22">
        <f>0+28+11-5</f>
        <v>34</v>
      </c>
      <c r="M13" s="26">
        <f>0+31-1+1+2-4+4+5-1-13+11-1+1</f>
        <v>35</v>
      </c>
      <c r="N13" s="26">
        <f>0+31-2-1-1-3+2+1+1+3-2-1+1+2-1+1+4-1+1-1+1</f>
        <v>35</v>
      </c>
      <c r="O13" s="26">
        <f>0+20-1-1-2+1+1-3+3+2-2+2-1+3-2+2</f>
        <v>22</v>
      </c>
      <c r="P13" s="26">
        <f>0+10-2-1-1-1+2+1+1+1-3+3+2-1+1-3-1+1-1+1</f>
        <v>9</v>
      </c>
      <c r="Q13" s="26">
        <f>0+7+3-1+1</f>
        <v>10</v>
      </c>
      <c r="R13" s="26">
        <f>0+5</f>
        <v>5</v>
      </c>
      <c r="S13" s="26">
        <f>0+3+8-7</f>
        <v>4</v>
      </c>
      <c r="T13" s="24">
        <f t="shared" si="1"/>
        <v>276</v>
      </c>
    </row>
    <row r="14" ht="14.25" customHeight="1">
      <c r="A14" s="21" t="s">
        <v>22</v>
      </c>
      <c r="B14" s="30">
        <f>11+1-1+1-1+1</f>
        <v>12</v>
      </c>
      <c r="C14" s="30">
        <f>0+21-1+1</f>
        <v>21</v>
      </c>
      <c r="D14" s="30">
        <f>0+3+1-1+1</f>
        <v>4</v>
      </c>
      <c r="E14" s="30">
        <f>0+16-1+1-2+2-1+1</f>
        <v>16</v>
      </c>
      <c r="F14" s="30">
        <f>0+4+2</f>
        <v>6</v>
      </c>
      <c r="G14" s="30">
        <f>0+7+1</f>
        <v>8</v>
      </c>
      <c r="H14" s="30">
        <f>0+4-1+1+1</f>
        <v>5</v>
      </c>
      <c r="I14" s="30">
        <f>0+2</f>
        <v>2</v>
      </c>
      <c r="J14" s="30">
        <f>0+3</f>
        <v>3</v>
      </c>
      <c r="K14" s="26">
        <f>0+12-2+1</f>
        <v>11</v>
      </c>
      <c r="L14" s="26">
        <f>0+15+4-1+1</f>
        <v>19</v>
      </c>
      <c r="M14" s="26">
        <f>0+22-3+3-1-5-1+1+3-2+2-1-1+1+1</f>
        <v>19</v>
      </c>
      <c r="N14" s="26">
        <f>0+18-1+1-2-4+4+19-17-1+1-1+1-1+1-1+1</f>
        <v>18</v>
      </c>
      <c r="O14" s="26">
        <f>0+20-1-6+6+1-1+1-1+1</f>
        <v>20</v>
      </c>
      <c r="P14" s="26">
        <f>0+7</f>
        <v>7</v>
      </c>
      <c r="Q14" s="26">
        <f>0+5+1-1+1</f>
        <v>6</v>
      </c>
      <c r="R14" s="26">
        <f>0+4</f>
        <v>4</v>
      </c>
      <c r="S14" s="26">
        <f>0+5</f>
        <v>5</v>
      </c>
      <c r="T14" s="24">
        <f t="shared" si="1"/>
        <v>186</v>
      </c>
    </row>
    <row r="15" ht="14.25" customHeight="1">
      <c r="A15" s="21" t="s">
        <v>23</v>
      </c>
      <c r="B15" s="28">
        <f>10-2+2-1+1-1+1</f>
        <v>10</v>
      </c>
      <c r="C15" s="28">
        <f>23-1-1+5+1+1+1-2-1+2+1-1+1-1-1+1+1+1-3+3+1-2-14+14-1</f>
        <v>28</v>
      </c>
      <c r="D15" s="28">
        <f>21-3+7+3-1+1-3+3-1+1-7+7+1-1-3+3+1-2+2-1-1+1-25+26-6+6-1+1</f>
        <v>29</v>
      </c>
      <c r="E15" s="28">
        <f>18-1-1+5+1+1-1+1-1+1-1-1-1+1+1-1-5+1-1+5+1+1-3+3+1-14+14-2+2</f>
        <v>24</v>
      </c>
      <c r="F15" s="28">
        <f>7-1-1+1+1-1-1-1-1-2+1-1+1+1+1+1+2+1+1-1+1-5+5-2+2</f>
        <v>9</v>
      </c>
      <c r="G15" s="28">
        <f>14-1+1-1+1-3+3-1+1-5+2+5</f>
        <v>16</v>
      </c>
      <c r="H15" s="28">
        <f>14-1+1-1</f>
        <v>13</v>
      </c>
      <c r="I15" s="28">
        <f>4-1+1+5-1+1</f>
        <v>9</v>
      </c>
      <c r="J15" s="29">
        <f>8+4</f>
        <v>12</v>
      </c>
      <c r="K15" s="22">
        <f>0+11+1+1</f>
        <v>13</v>
      </c>
      <c r="L15" s="22">
        <f>0+34+1-1-5+1</f>
        <v>30</v>
      </c>
      <c r="M15" s="26">
        <f>0+30+1-1+1+5+1-1+1+3-1+1-1</f>
        <v>39</v>
      </c>
      <c r="N15" s="26">
        <f>0+35+1-1+1-1+1-1+1-1+2+1+1-1+1-1+1-11</f>
        <v>28</v>
      </c>
      <c r="O15" s="26">
        <f>0+23-1+1-1+1-1+1-1+1+1+1+3-1+1-2-1+1</f>
        <v>26</v>
      </c>
      <c r="P15" s="26">
        <f>0+26-1+1-4+4-1+1+1-6-1+1-3+3</f>
        <v>21</v>
      </c>
      <c r="Q15" s="26">
        <f>0+11-1+1+2</f>
        <v>13</v>
      </c>
      <c r="R15" s="26">
        <f>0+4+5</f>
        <v>9</v>
      </c>
      <c r="S15" s="26">
        <f>0+7+3</f>
        <v>10</v>
      </c>
      <c r="T15" s="24">
        <f t="shared" si="1"/>
        <v>339</v>
      </c>
    </row>
    <row r="16" ht="14.25" customHeight="1">
      <c r="A16" s="21" t="s">
        <v>24</v>
      </c>
      <c r="B16" s="28">
        <f>0+7+5-1-1+1+2-2</f>
        <v>11</v>
      </c>
      <c r="C16" s="28">
        <f>0+31+2+1-1-1+1-11+11</f>
        <v>33</v>
      </c>
      <c r="D16" s="28">
        <f>0+34+3-1-1+1-2+2+1-7-1+7</f>
        <v>36</v>
      </c>
      <c r="E16" s="28">
        <f>0+35+3-2+2-1+1+7-2-1+2-6-2-1+6+1</f>
        <v>42</v>
      </c>
      <c r="F16" s="28">
        <f>0+22+1-4-1-4-1+1+4+1-1+1-9-1+1-1+1-2-2+2</f>
        <v>8</v>
      </c>
      <c r="G16" s="28">
        <f>0+20-2+2</f>
        <v>20</v>
      </c>
      <c r="H16" s="28">
        <f>10-7</f>
        <v>3</v>
      </c>
      <c r="I16" s="28">
        <f>0+9</f>
        <v>9</v>
      </c>
      <c r="J16" s="28">
        <f>0+8</f>
        <v>8</v>
      </c>
      <c r="K16" s="22">
        <f>0+28+1-5-6</f>
        <v>18</v>
      </c>
      <c r="L16" s="22">
        <f>0+38+10-1-9+9-5+5-9-1+9+1</f>
        <v>47</v>
      </c>
      <c r="M16" s="22">
        <f>0+30+3+2+21-1+1-1-2+1+2+1-21+21-1+1-11+11</f>
        <v>57</v>
      </c>
      <c r="N16" s="22">
        <f>0+1+3+1-1+25+1-1+1-1+1-1+1-25-1+1+25-2+2-1-9+1-1+9+1+1</f>
        <v>31</v>
      </c>
      <c r="O16" s="22">
        <f>0+38+3+4+1-1+10+1-4+4+2-15+10-1+1-3+3</f>
        <v>53</v>
      </c>
      <c r="P16" s="22">
        <f>0+17+6</f>
        <v>23</v>
      </c>
      <c r="Q16" s="22">
        <f>0+31+1</f>
        <v>32</v>
      </c>
      <c r="R16" s="22">
        <f>0+12</f>
        <v>12</v>
      </c>
      <c r="S16" s="22">
        <f>0+5</f>
        <v>5</v>
      </c>
      <c r="T16" s="24">
        <f t="shared" si="1"/>
        <v>448</v>
      </c>
    </row>
    <row r="17" ht="14.25" customHeight="1">
      <c r="A17" s="21" t="s">
        <v>25</v>
      </c>
      <c r="B17" s="31">
        <f>1+32-1+1-1+1+5-2+2</f>
        <v>38</v>
      </c>
      <c r="C17" s="31">
        <f>0+40+32+1+4-2+2-2+2-33-4+4-5-1+1-4-5+4+5-1</f>
        <v>38</v>
      </c>
      <c r="D17" s="31">
        <f>0+32-1+1-3-1+3+1-1+1-1+1+1-1-5+1+5-2+2-3-5+3-2-1+2+5+1-2</f>
        <v>31</v>
      </c>
      <c r="E17" s="31">
        <f>38-1+1-2+2-1-3+1+3-1+1</f>
        <v>38</v>
      </c>
      <c r="F17" s="31">
        <f>0+21+3-2+2-2+2</f>
        <v>24</v>
      </c>
      <c r="G17" s="31">
        <f>0+23-2+2+1-1+1</f>
        <v>24</v>
      </c>
      <c r="H17" s="31">
        <f>0+15-1+1</f>
        <v>15</v>
      </c>
      <c r="I17" s="28">
        <f>0</f>
        <v>0</v>
      </c>
      <c r="J17" s="31">
        <f>0+9</f>
        <v>9</v>
      </c>
      <c r="K17" s="26">
        <f>0+20+1</f>
        <v>21</v>
      </c>
      <c r="L17" s="26">
        <f>0+46+1-1+1-2+2</f>
        <v>47</v>
      </c>
      <c r="M17" s="26">
        <f>0+31+2-2+2-2+2-1+1-1-1+1-1+1-1-1-1+1-10+1-2-1-1+1+2+10-1+1+1+1-3</f>
        <v>29</v>
      </c>
      <c r="N17" s="26">
        <f>0+27+2-1+1-1+1+1-1+1-2-3+2+3-1-1+1-5</f>
        <v>24</v>
      </c>
      <c r="O17" s="26">
        <f>0+24+1-1+1-1+1-1+1-4+4</f>
        <v>25</v>
      </c>
      <c r="P17" s="26">
        <f>0+17+2-3-6+6-1+1</f>
        <v>16</v>
      </c>
      <c r="Q17" s="26">
        <f>0+13+2-1+1+2</f>
        <v>17</v>
      </c>
      <c r="R17" s="26">
        <f>0+14+2-1+1-3</f>
        <v>13</v>
      </c>
      <c r="S17" s="26">
        <f>0+8</f>
        <v>8</v>
      </c>
      <c r="T17" s="24">
        <f t="shared" si="1"/>
        <v>417</v>
      </c>
    </row>
    <row r="18" ht="14.25" customHeight="1">
      <c r="A18" s="21" t="s">
        <v>26</v>
      </c>
      <c r="B18" s="28">
        <f>0+15-1+1-1+1-1+1</f>
        <v>15</v>
      </c>
      <c r="C18" s="28">
        <f>0+20+2-1+1-1+1-1+1+1-2+2-1+1</f>
        <v>23</v>
      </c>
      <c r="D18" s="28">
        <f>0+25+1-1-2+1+2+1+1-1+1-1-1+1+1-3-1+3+2-10+10-1+1-2+2</f>
        <v>29</v>
      </c>
      <c r="E18" s="28">
        <f>0+35+1-1+1+1+1-2+2-1+1-1+1-1+1-3-2+3-1+1-1+1</f>
        <v>36</v>
      </c>
      <c r="F18" s="28">
        <f>0+7+1-2+1+2-1-1+1+1-1+1-1+1+1</f>
        <v>10</v>
      </c>
      <c r="G18" s="28">
        <f>0+6+10</f>
        <v>16</v>
      </c>
      <c r="H18" s="28">
        <f>0+25-2+2</f>
        <v>25</v>
      </c>
      <c r="I18" s="28">
        <f>0+5</f>
        <v>5</v>
      </c>
      <c r="J18" s="28">
        <f>0+5-2</f>
        <v>3</v>
      </c>
      <c r="K18" s="26">
        <f>0+7+1+4+1</f>
        <v>13</v>
      </c>
      <c r="L18" s="26">
        <f>0+36-1+4+1-1+1-1+1+26+4</f>
        <v>70</v>
      </c>
      <c r="M18" s="26">
        <f>0+29+1+24-1+1-24+24</f>
        <v>54</v>
      </c>
      <c r="N18" s="26">
        <f>0+33-1+10+1-1-1+1+1-2+10-1+1</f>
        <v>51</v>
      </c>
      <c r="O18" s="26">
        <f>0+30+3-2+1-1+20-1+2+1+1-1+1-1+1-1-17-10+20</f>
        <v>46</v>
      </c>
      <c r="P18" s="22">
        <f>0+12+10</f>
        <v>22</v>
      </c>
      <c r="Q18" s="26">
        <f>0+18-1-1+1</f>
        <v>17</v>
      </c>
      <c r="R18" s="26">
        <f>0+2+3-1+1-3+3-1+1-1+1</f>
        <v>5</v>
      </c>
      <c r="S18" s="26">
        <f>0+7-1+1+1+2-1+1</f>
        <v>10</v>
      </c>
      <c r="T18" s="24">
        <f t="shared" si="1"/>
        <v>450</v>
      </c>
    </row>
    <row r="19" ht="14.25" customHeight="1">
      <c r="A19" s="21" t="s">
        <v>27</v>
      </c>
      <c r="B19" s="28">
        <f>0+10-2+2</f>
        <v>10</v>
      </c>
      <c r="C19" s="28">
        <f>0+20+2-1-1-4+12-2+2-1+1</f>
        <v>28</v>
      </c>
      <c r="D19" s="28">
        <f>0+23+1+6-2+2-8-1-1+1-1+1-14+14-1-1+1-1+1+1+1</f>
        <v>22</v>
      </c>
      <c r="E19" s="28">
        <f>0+16+1+6-1+1-1+1-8+8-2+2-2+2+1</f>
        <v>24</v>
      </c>
      <c r="F19" s="28">
        <f>0+5+6-1+1</f>
        <v>11</v>
      </c>
      <c r="G19" s="28">
        <f>0+8+1-2+2</f>
        <v>9</v>
      </c>
      <c r="H19" s="28">
        <f>0+7-1+1+1</f>
        <v>8</v>
      </c>
      <c r="I19" s="28">
        <f>0+3+1-1+1-1+1</f>
        <v>4</v>
      </c>
      <c r="J19" s="28">
        <f>0+3-1+1-1+1</f>
        <v>3</v>
      </c>
      <c r="K19" s="26">
        <f>0+12-1</f>
        <v>11</v>
      </c>
      <c r="L19" s="26">
        <f>0+32+1-4+6-2+2-3+3</f>
        <v>35</v>
      </c>
      <c r="M19" s="26">
        <f>0+34-8+13+1-3+3-1+1-1+1-3-1+1+3</f>
        <v>40</v>
      </c>
      <c r="N19" s="26">
        <f>0+31+2-1+1-6+6-2+2-1+1-4+4+1-1</f>
        <v>33</v>
      </c>
      <c r="O19" s="26">
        <f>0+27+3+1-4+2-1+1-3+3-1+1</f>
        <v>29</v>
      </c>
      <c r="P19" s="26">
        <f>0+14+2+1-2+2-1+1</f>
        <v>17</v>
      </c>
      <c r="Q19" s="26">
        <f>0+12-1</f>
        <v>11</v>
      </c>
      <c r="R19" s="26">
        <f>0+12-3</f>
        <v>9</v>
      </c>
      <c r="S19" s="26">
        <f>0+7+3</f>
        <v>10</v>
      </c>
      <c r="T19" s="24">
        <f t="shared" si="1"/>
        <v>314</v>
      </c>
    </row>
    <row r="20" ht="14.25" customHeight="1">
      <c r="A20" s="21" t="s">
        <v>28</v>
      </c>
      <c r="B20" s="28">
        <f>0+14+1-1+1-1+1</f>
        <v>15</v>
      </c>
      <c r="C20" s="28">
        <f>0+28-1-1-1+1+1</f>
        <v>27</v>
      </c>
      <c r="D20" s="28">
        <f>0+29+1-1+1-1+1</f>
        <v>30</v>
      </c>
      <c r="E20" s="28">
        <f>0+24-1+1-1+1+1-1+1</f>
        <v>25</v>
      </c>
      <c r="F20" s="28">
        <f>0+23-1+1-1+1+1</f>
        <v>24</v>
      </c>
      <c r="G20" s="28">
        <f>0+24+1</f>
        <v>25</v>
      </c>
      <c r="H20" s="28">
        <f>0+16-1+1</f>
        <v>16</v>
      </c>
      <c r="I20" s="28">
        <f>0+4+1</f>
        <v>5</v>
      </c>
      <c r="J20" s="28">
        <f>0+4</f>
        <v>4</v>
      </c>
      <c r="K20" s="26">
        <f>0+21</f>
        <v>21</v>
      </c>
      <c r="L20" s="26">
        <f>0+36+10-10+10</f>
        <v>46</v>
      </c>
      <c r="M20" s="26">
        <f>0+22-1+1+20-1-2+2-2+2-6+20-1+1</f>
        <v>55</v>
      </c>
      <c r="N20" s="26">
        <f>0+36+1-1+25-1+1+1-2+2-2+2-2-37+25-1+1-1+1-1+1</f>
        <v>48</v>
      </c>
      <c r="O20" s="26">
        <f>0+17+1+10-2+2-9+10-1</f>
        <v>28</v>
      </c>
      <c r="P20" s="26">
        <f>0+16+2+5-1+1-5+5</f>
        <v>23</v>
      </c>
      <c r="Q20" s="26">
        <f>0+10-1-1+1+1</f>
        <v>10</v>
      </c>
      <c r="R20" s="26">
        <f>0+10</f>
        <v>10</v>
      </c>
      <c r="S20" s="26">
        <f>0+10-1+1</f>
        <v>10</v>
      </c>
      <c r="T20" s="24">
        <f t="shared" si="1"/>
        <v>422</v>
      </c>
    </row>
    <row r="21" ht="14.25" customHeight="1">
      <c r="A21" s="21" t="s">
        <v>29</v>
      </c>
      <c r="B21" s="28">
        <f>0+10+2-1+1</f>
        <v>12</v>
      </c>
      <c r="C21" s="28">
        <f>0+48+9-1+1+2-2+2</f>
        <v>59</v>
      </c>
      <c r="D21" s="28">
        <f>0+43+6-6+6-6-1-1+1</f>
        <v>42</v>
      </c>
      <c r="E21" s="28">
        <f>0+33+6-6+6</f>
        <v>39</v>
      </c>
      <c r="F21" s="28">
        <f>0+5+6-6+6+2-1+1</f>
        <v>13</v>
      </c>
      <c r="G21" s="28">
        <f>0+25+1-1+1-1+1</f>
        <v>26</v>
      </c>
      <c r="H21" s="28">
        <f>0+36-1+1+1</f>
        <v>37</v>
      </c>
      <c r="I21" s="28">
        <f t="shared" ref="I21:J21" si="2">0+6</f>
        <v>6</v>
      </c>
      <c r="J21" s="28">
        <f t="shared" si="2"/>
        <v>6</v>
      </c>
      <c r="K21" s="26">
        <f>0+14+10</f>
        <v>24</v>
      </c>
      <c r="L21" s="26">
        <f>0+50+2-2+2-7</f>
        <v>45</v>
      </c>
      <c r="M21" s="26">
        <f>0+25+5-5+5-5-1+1-3+3</f>
        <v>25</v>
      </c>
      <c r="N21" s="26">
        <f>0+30-1+2+1-2+2+2+1</f>
        <v>35</v>
      </c>
      <c r="O21" s="26">
        <f>0+21+4-4+4+1-1+1-1+1-1+1</f>
        <v>26</v>
      </c>
      <c r="P21" s="26">
        <f>0+23-5</f>
        <v>18</v>
      </c>
      <c r="Q21" s="26">
        <f>0+25+1</f>
        <v>26</v>
      </c>
      <c r="R21" s="26">
        <f>0+3</f>
        <v>3</v>
      </c>
      <c r="S21" s="32">
        <f>0+6</f>
        <v>6</v>
      </c>
      <c r="T21" s="24">
        <f t="shared" si="1"/>
        <v>448</v>
      </c>
    </row>
    <row r="22" ht="14.25" customHeight="1">
      <c r="A22" s="21" t="s">
        <v>30</v>
      </c>
      <c r="B22" s="28">
        <f>13+1</f>
        <v>14</v>
      </c>
      <c r="C22" s="28">
        <f>25+1-4-15-2+2</f>
        <v>7</v>
      </c>
      <c r="D22" s="28">
        <f>24-1+1-1+1-4+4-1+1</f>
        <v>24</v>
      </c>
      <c r="E22" s="28">
        <f>30+1+1-4-6+5</f>
        <v>27</v>
      </c>
      <c r="F22" s="28">
        <f>9+5+1-1-4+11-1+1-1+1</f>
        <v>21</v>
      </c>
      <c r="G22" s="28">
        <f>15+1-6</f>
        <v>10</v>
      </c>
      <c r="H22" s="28">
        <f>12+5</f>
        <v>17</v>
      </c>
      <c r="I22" s="28">
        <f>7</f>
        <v>7</v>
      </c>
      <c r="J22" s="29">
        <f>6-4</f>
        <v>2</v>
      </c>
      <c r="K22" s="26">
        <f>0+18</f>
        <v>18</v>
      </c>
      <c r="L22" s="26">
        <f>0+31+1-12+13-3+3</f>
        <v>33</v>
      </c>
      <c r="M22" s="26">
        <f>0+38-1+1-4+4-18+18-7+7-1+1</f>
        <v>38</v>
      </c>
      <c r="N22" s="26">
        <f>0+34+6-6+6-14+14-8+8</f>
        <v>40</v>
      </c>
      <c r="O22" s="26">
        <f>0+28-5+5-20+20-6+6</f>
        <v>28</v>
      </c>
      <c r="P22" s="26">
        <f>0+18+1-3+3-1+1</f>
        <v>19</v>
      </c>
      <c r="Q22" s="26">
        <f>0+15-1</f>
        <v>14</v>
      </c>
      <c r="R22" s="26">
        <f t="shared" ref="R22:S22" si="3">0+5</f>
        <v>5</v>
      </c>
      <c r="S22" s="26">
        <f t="shared" si="3"/>
        <v>5</v>
      </c>
      <c r="T22" s="24">
        <f t="shared" si="1"/>
        <v>329</v>
      </c>
    </row>
    <row r="23" ht="14.25" customHeight="1">
      <c r="A23" s="21" t="s">
        <v>31</v>
      </c>
      <c r="B23" s="28">
        <f>0+12-1+1+1-1+1</f>
        <v>13</v>
      </c>
      <c r="C23" s="28">
        <f>0+15+1-2+2-9+10-1+1</f>
        <v>17</v>
      </c>
      <c r="D23" s="28">
        <f>0+30-1+1-2+2-1+1-1+1+1</f>
        <v>31</v>
      </c>
      <c r="E23" s="28">
        <f>0+14+1-1+1-2+2-1+1-1+1</f>
        <v>15</v>
      </c>
      <c r="F23" s="28">
        <f>0+16-1+1-1+1</f>
        <v>16</v>
      </c>
      <c r="G23" s="28">
        <f>0+12+3-1+1</f>
        <v>15</v>
      </c>
      <c r="H23" s="28">
        <f>0+15</f>
        <v>15</v>
      </c>
      <c r="I23" s="28">
        <f>0+7-1+1-5+1</f>
        <v>3</v>
      </c>
      <c r="J23" s="28">
        <f>0+7</f>
        <v>7</v>
      </c>
      <c r="K23" s="22">
        <f>12</f>
        <v>12</v>
      </c>
      <c r="L23" s="22">
        <f>30-1-1+1</f>
        <v>29</v>
      </c>
      <c r="M23" s="22">
        <f>15+18</f>
        <v>33</v>
      </c>
      <c r="N23" s="22">
        <f>18</f>
        <v>18</v>
      </c>
      <c r="O23" s="22">
        <f>0+25-1-1-2+2+1+2-2+2</f>
        <v>26</v>
      </c>
      <c r="P23" s="22">
        <f>0+24-1+2</f>
        <v>25</v>
      </c>
      <c r="Q23" s="22">
        <f>0+15-1+1</f>
        <v>15</v>
      </c>
      <c r="R23" s="22">
        <f>0+8+1</f>
        <v>9</v>
      </c>
      <c r="S23" s="22">
        <f>0+3-1+1-1+1</f>
        <v>3</v>
      </c>
      <c r="T23" s="24">
        <f t="shared" si="1"/>
        <v>302</v>
      </c>
    </row>
    <row r="24" ht="14.25" customHeight="1">
      <c r="A24" s="21" t="s">
        <v>32</v>
      </c>
      <c r="B24" s="28">
        <f>0+13-1+1-1+1-1+1-2+1-2</f>
        <v>10</v>
      </c>
      <c r="C24" s="28">
        <f>0+10+2-2-1-1+2+1-5+5-1+1-3+3-1+1-1+1-1+1-5</f>
        <v>6</v>
      </c>
      <c r="D24" s="28">
        <f>0+24+1-2+2-1-2+1+2-1-5+1+5-2+2-1-1+1+1-2+2-3-1</f>
        <v>21</v>
      </c>
      <c r="E24" s="28">
        <f>16+1+1-1-1+1-1+1+1-5+5-1+1-1+9+1-1-1+1-1-3+1</f>
        <v>23</v>
      </c>
      <c r="F24" s="28">
        <f>12+4-1-1+1-3-1+3+1-1+1-1+1+1-1+1-2-1</f>
        <v>13</v>
      </c>
      <c r="G24" s="28">
        <f>20+1-1+1-4+4-1+1+2-1+3</f>
        <v>25</v>
      </c>
      <c r="H24" s="28">
        <f>12-3-1</f>
        <v>8</v>
      </c>
      <c r="I24" s="28">
        <f>6-1</f>
        <v>5</v>
      </c>
      <c r="J24" s="29">
        <f>5</f>
        <v>5</v>
      </c>
      <c r="K24" s="26">
        <f>0+17-1+2-1</f>
        <v>17</v>
      </c>
      <c r="L24" s="26">
        <f>0+22-1+1+1-2-12+12+20-1+1</f>
        <v>41</v>
      </c>
      <c r="M24" s="26">
        <f>0+31+4-1+1+1-1-1-1+1+1-3+3-2-33+33-1+1-1+1</f>
        <v>33</v>
      </c>
      <c r="N24" s="26">
        <f>0+39-1+1+1-2-3+3-1-28+28-2-1+1+1-2+2</f>
        <v>36</v>
      </c>
      <c r="O24" s="26">
        <f>34-1-2+1+2-1+1-2+1+2-1-21+21-1+1+1-1+1+1</f>
        <v>36</v>
      </c>
      <c r="P24" s="26">
        <f>0+15+1-1+1+1-1+1-4+4-1+1-1+1+1</f>
        <v>18</v>
      </c>
      <c r="Q24" s="26">
        <f>0+13-4+4+1-1+1</f>
        <v>14</v>
      </c>
      <c r="R24" s="26">
        <f>0+8-1+1</f>
        <v>8</v>
      </c>
      <c r="S24" s="26">
        <f>0+10</f>
        <v>10</v>
      </c>
      <c r="T24" s="24">
        <f t="shared" si="1"/>
        <v>329</v>
      </c>
    </row>
    <row r="25" ht="14.25" customHeight="1">
      <c r="A25" s="33" t="s">
        <v>33</v>
      </c>
      <c r="B25" s="34">
        <f>0+12+2-1-1+1+1</f>
        <v>14</v>
      </c>
      <c r="C25" s="34">
        <f>0+15-1+1+1-2-2-1+2+1-1+1-3+3-3+1+1+1-1+1-1+1-1-1+1+1-1+1</f>
        <v>14</v>
      </c>
      <c r="D25" s="34">
        <f>0+23-1+1-1+1-4-1+4-2+2+5-1+1-1+1+1+2-1-1+1</f>
        <v>29</v>
      </c>
      <c r="E25" s="34">
        <f>0+17-1+1-1-2+2+1-1-1+1-4+4+1-2+2-2+2-1-1+1+1+1</f>
        <v>18</v>
      </c>
      <c r="F25" s="34">
        <f>0+23-1-1+1+1+1-1-1+1-2-2-1+1-2+2-2-1+2+1+1+3-2+2</f>
        <v>23</v>
      </c>
      <c r="G25" s="34">
        <f>0+16-3+3+1+2</f>
        <v>19</v>
      </c>
      <c r="H25" s="34">
        <f>0+1+11-1+1+1</f>
        <v>13</v>
      </c>
      <c r="I25" s="34">
        <f>0+7+5</f>
        <v>12</v>
      </c>
      <c r="J25" s="34">
        <f>0+5-2+2+1</f>
        <v>6</v>
      </c>
      <c r="K25" s="26">
        <f>0+9-7+7-1-1</f>
        <v>7</v>
      </c>
      <c r="L25" s="26">
        <f>0+30-1-2-1+1+2+2-2-2+2-1-1+1-3-1+1+3</f>
        <v>28</v>
      </c>
      <c r="M25" s="26">
        <f>0+19+1-1-1-2+2+1-3+3-1+1-4+4+6-2+2-1+1-1+1-1+1-1+1-1-2+1+1+2-2-1-2-1+1+2+1+1-1+1</f>
        <v>25</v>
      </c>
      <c r="N25" s="26">
        <f>0+29-1+1+1-4+4-8-3+3+8+1-2-5+5-1+2-1+1-2+2+1-2+2-1+1-2-1+2+1+1-1+1</f>
        <v>32</v>
      </c>
      <c r="O25" s="26">
        <f>0+16-1+1-2-1+2+1-1+1-1+1-3+3+4-1+1-1+1-1-1-3-1+1+1+1-1</f>
        <v>16</v>
      </c>
      <c r="P25" s="26">
        <f>0+19+1-1+1-1-1</f>
        <v>18</v>
      </c>
      <c r="Q25" s="26">
        <f>0+10</f>
        <v>10</v>
      </c>
      <c r="R25" s="26">
        <f>0+6-1+1-1+1</f>
        <v>6</v>
      </c>
      <c r="S25" s="26">
        <f>0+6+1-1+1-1</f>
        <v>6</v>
      </c>
      <c r="T25" s="24">
        <f t="shared" si="1"/>
        <v>296</v>
      </c>
    </row>
    <row r="26" ht="27.75" customHeight="1">
      <c r="A26" s="33" t="s">
        <v>34</v>
      </c>
      <c r="B26" s="34">
        <f>10-1+1-1+1+1-2+1-1+2-1+1-1+1-1-4</f>
        <v>6</v>
      </c>
      <c r="C26" s="34">
        <f>13-1+1-1-1-1+3-1+1-3+3-6</f>
        <v>7</v>
      </c>
      <c r="D26" s="34">
        <f>15-1+1+1-1-2+1+2+5-1-1-1+1+1+1+1-1+1+5+3-3-1+1-2-1+2+1-1-17-1</f>
        <v>8</v>
      </c>
      <c r="E26" s="34">
        <f>8-1+1-1+1+3-1+1+1-1-1+1-1+1+1-6-4+4+1-1-1+1-8+10-1</f>
        <v>7</v>
      </c>
      <c r="F26" s="34">
        <f>12+1-1-1+1-4-1+1-1+1-2-1+2-4</f>
        <v>3</v>
      </c>
      <c r="G26" s="34">
        <f>10-1+1+1-1+1-2</f>
        <v>9</v>
      </c>
      <c r="H26" s="34">
        <f>15-1-1+1-3</f>
        <v>11</v>
      </c>
      <c r="I26" s="34">
        <f>6-1+1+1-1</f>
        <v>6</v>
      </c>
      <c r="J26" s="35">
        <f>5</f>
        <v>5</v>
      </c>
      <c r="K26" s="26">
        <f>0+11-1-1+1+1-1+1</f>
        <v>11</v>
      </c>
      <c r="L26" s="26">
        <f>0+25-1+1+2+2-2+2-1</f>
        <v>28</v>
      </c>
      <c r="M26" s="26">
        <f>0+17-1+1+2-1-2+1+2+2-3+3-2</f>
        <v>19</v>
      </c>
      <c r="N26" s="26">
        <f>0+17+1+4-1+1+4+4-1+1</f>
        <v>30</v>
      </c>
      <c r="O26" s="26">
        <f>0+29+1-2+2-4-1+1-1</f>
        <v>25</v>
      </c>
      <c r="P26" s="26">
        <f>0+17-1+1+1</f>
        <v>18</v>
      </c>
      <c r="Q26" s="26">
        <f>0+11+1</f>
        <v>12</v>
      </c>
      <c r="R26" s="26">
        <f t="shared" ref="R26:S26" si="4">0+6</f>
        <v>6</v>
      </c>
      <c r="S26" s="26">
        <f t="shared" si="4"/>
        <v>6</v>
      </c>
      <c r="T26" s="24">
        <f t="shared" si="1"/>
        <v>217</v>
      </c>
    </row>
    <row r="27" ht="14.25" customHeight="1">
      <c r="A27" s="33" t="s">
        <v>35</v>
      </c>
      <c r="B27" s="34">
        <f>0+23-15</f>
        <v>8</v>
      </c>
      <c r="C27" s="34">
        <f>0+11-5+2+8</f>
        <v>16</v>
      </c>
      <c r="D27" s="34">
        <f>0+36-7+7-15</f>
        <v>21</v>
      </c>
      <c r="E27" s="34">
        <f>0+21</f>
        <v>21</v>
      </c>
      <c r="F27" s="34">
        <f>0+7</f>
        <v>7</v>
      </c>
      <c r="G27" s="34">
        <f>0+15</f>
        <v>15</v>
      </c>
      <c r="H27" s="34">
        <f>0+13</f>
        <v>13</v>
      </c>
      <c r="I27" s="34">
        <f>0+8</f>
        <v>8</v>
      </c>
      <c r="J27" s="34">
        <f>0+7</f>
        <v>7</v>
      </c>
      <c r="K27" s="26">
        <f>0+10</f>
        <v>10</v>
      </c>
      <c r="L27" s="26">
        <f>0+30-3+3</f>
        <v>30</v>
      </c>
      <c r="M27" s="26">
        <f>0+27-3+3-1+1</f>
        <v>27</v>
      </c>
      <c r="N27" s="26">
        <f>0+25+1-4+4+1</f>
        <v>27</v>
      </c>
      <c r="O27" s="26">
        <f>0+9-6+6+17</f>
        <v>26</v>
      </c>
      <c r="P27" s="26">
        <f>0+5</f>
        <v>5</v>
      </c>
      <c r="Q27" s="26">
        <f t="shared" ref="Q27:S27" si="5">0+3</f>
        <v>3</v>
      </c>
      <c r="R27" s="26">
        <f t="shared" si="5"/>
        <v>3</v>
      </c>
      <c r="S27" s="26">
        <f t="shared" si="5"/>
        <v>3</v>
      </c>
      <c r="T27" s="24">
        <f t="shared" si="1"/>
        <v>250</v>
      </c>
    </row>
    <row r="28" ht="14.25" customHeight="1">
      <c r="A28" s="36" t="s">
        <v>36</v>
      </c>
      <c r="B28" s="37">
        <f>0+4-1-1+1+1-1+1-1+1</f>
        <v>4</v>
      </c>
      <c r="C28" s="37">
        <f>0+3+1-2+1+1-2-1+1+2-2+2+1-3+1+3-2</f>
        <v>4</v>
      </c>
      <c r="D28" s="37">
        <f>0+5+1-5+2+1+3-1-1+1+1-2+2-1-6+1+1+6-1-1+1+1-1-1+1-1+1</f>
        <v>7</v>
      </c>
      <c r="E28" s="37">
        <f>0+3+1-4+2-1+1+1+1-1+1-3+1-2+2+3-2+2-2+2</f>
        <v>5</v>
      </c>
      <c r="F28" s="37">
        <f>0+4+1-4+1+3-1+1-1-1+1-1-1+1+1+1-4-1+3+1-1+1-1+1-1+1-2+2</f>
        <v>4</v>
      </c>
      <c r="G28" s="37">
        <f>0+4-3+2+1-1+1-1+1</f>
        <v>4</v>
      </c>
      <c r="H28" s="34">
        <f>0+1-1+1</f>
        <v>1</v>
      </c>
      <c r="I28" s="37">
        <f t="shared" ref="I28:J28" si="6">0+3</f>
        <v>3</v>
      </c>
      <c r="J28" s="37">
        <f t="shared" si="6"/>
        <v>3</v>
      </c>
      <c r="K28" s="26">
        <f>1+4-1+1</f>
        <v>5</v>
      </c>
      <c r="L28" s="26">
        <f>11+7-1+1-1+1-11+11</f>
        <v>18</v>
      </c>
      <c r="M28" s="26">
        <f>0+30+1+7+1+1-1-1-5+1+1+5+1-30+30-1+1-1+1</f>
        <v>41</v>
      </c>
      <c r="N28" s="26">
        <f>0+27+7-2+2-3+3-1-2+1+1+2-28+27</f>
        <v>34</v>
      </c>
      <c r="O28" s="26">
        <f>0+17+1+7+1-1+1-1+1-1+1-1-1+1+1+1-19-2+17</f>
        <v>23</v>
      </c>
      <c r="P28" s="26">
        <f>0+9+5+1-1+1+1-9+9-1+1</f>
        <v>16</v>
      </c>
      <c r="Q28" s="22">
        <f>0+2+3+1-1+1-2+2</f>
        <v>6</v>
      </c>
      <c r="R28" s="26">
        <f t="shared" ref="R28:R29" si="8">0+2</f>
        <v>2</v>
      </c>
      <c r="S28" s="26">
        <f t="shared" ref="S28:S29" si="9">0+3</f>
        <v>3</v>
      </c>
      <c r="T28" s="24">
        <f t="shared" si="1"/>
        <v>183</v>
      </c>
    </row>
    <row r="29" ht="14.25" customHeight="1">
      <c r="A29" s="33" t="s">
        <v>37</v>
      </c>
      <c r="B29" s="34">
        <f>0+6+B30</f>
        <v>6</v>
      </c>
      <c r="C29" s="34">
        <f>0+5</f>
        <v>5</v>
      </c>
      <c r="D29" s="34">
        <f>0+13</f>
        <v>13</v>
      </c>
      <c r="E29" s="34">
        <f>0+15+5</f>
        <v>20</v>
      </c>
      <c r="F29" s="34">
        <f>0+7</f>
        <v>7</v>
      </c>
      <c r="G29" s="34">
        <f>0+5</f>
        <v>5</v>
      </c>
      <c r="H29" s="34">
        <f>0+6-3</f>
        <v>3</v>
      </c>
      <c r="I29" s="34">
        <f t="shared" ref="I29:J29" si="7">0+3</f>
        <v>3</v>
      </c>
      <c r="J29" s="34">
        <f t="shared" si="7"/>
        <v>3</v>
      </c>
      <c r="K29" s="26">
        <f>0+10+1</f>
        <v>11</v>
      </c>
      <c r="L29" s="26">
        <f>0+18-1+1</f>
        <v>18</v>
      </c>
      <c r="M29" s="26">
        <f>0+22</f>
        <v>22</v>
      </c>
      <c r="N29" s="26">
        <f>0+23-1-1+1</f>
        <v>22</v>
      </c>
      <c r="O29" s="26">
        <f>0+22-1+1</f>
        <v>22</v>
      </c>
      <c r="P29" s="26">
        <f>0+11</f>
        <v>11</v>
      </c>
      <c r="Q29" s="26">
        <f>0+3</f>
        <v>3</v>
      </c>
      <c r="R29" s="26">
        <f t="shared" si="8"/>
        <v>2</v>
      </c>
      <c r="S29" s="26">
        <f t="shared" si="9"/>
        <v>3</v>
      </c>
      <c r="T29" s="24">
        <f t="shared" si="1"/>
        <v>179</v>
      </c>
    </row>
    <row r="30" ht="14.25" customHeight="1">
      <c r="A30" s="38"/>
      <c r="B30" s="7"/>
      <c r="C30" s="7"/>
      <c r="D30" s="7"/>
      <c r="E30" s="7"/>
      <c r="F30" s="7"/>
      <c r="G30" s="7"/>
      <c r="H30" s="7"/>
      <c r="I30" s="7"/>
      <c r="J30" s="7"/>
      <c r="K30" s="7"/>
      <c r="L30" s="7" t="s">
        <v>38</v>
      </c>
      <c r="M30" s="7"/>
      <c r="N30" s="7"/>
      <c r="O30" s="7"/>
      <c r="P30" s="7"/>
      <c r="Q30" s="7"/>
      <c r="R30" s="7"/>
      <c r="S30" s="7"/>
      <c r="T30" s="39">
        <f>SUM(T5:T29)</f>
        <v>8741</v>
      </c>
    </row>
    <row r="31" ht="14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1"/>
    </row>
    <row r="32" ht="14.25" customHeight="1">
      <c r="A32" s="7"/>
      <c r="B32" s="8" t="s">
        <v>39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1"/>
    </row>
    <row r="33" ht="14.25" customHeight="1">
      <c r="A33" s="7"/>
      <c r="B33" s="40" t="s">
        <v>1</v>
      </c>
      <c r="C33" s="13"/>
      <c r="D33" s="13"/>
      <c r="E33" s="13"/>
      <c r="F33" s="13"/>
      <c r="G33" s="13"/>
      <c r="H33" s="13"/>
      <c r="I33" s="13"/>
      <c r="J33" s="14"/>
      <c r="K33" s="41" t="s">
        <v>2</v>
      </c>
      <c r="L33" s="13"/>
      <c r="M33" s="13"/>
      <c r="N33" s="13"/>
      <c r="O33" s="13"/>
      <c r="P33" s="13"/>
      <c r="Q33" s="13"/>
      <c r="R33" s="13"/>
      <c r="S33" s="14"/>
      <c r="T33" s="11"/>
    </row>
    <row r="34" ht="14.25" customHeight="1">
      <c r="A34" s="16" t="s">
        <v>3</v>
      </c>
      <c r="B34" s="17" t="s">
        <v>4</v>
      </c>
      <c r="C34" s="18" t="s">
        <v>5</v>
      </c>
      <c r="D34" s="18" t="s">
        <v>6</v>
      </c>
      <c r="E34" s="18" t="s">
        <v>7</v>
      </c>
      <c r="F34" s="18" t="s">
        <v>8</v>
      </c>
      <c r="G34" s="18" t="s">
        <v>9</v>
      </c>
      <c r="H34" s="18" t="s">
        <v>10</v>
      </c>
      <c r="I34" s="18" t="s">
        <v>11</v>
      </c>
      <c r="J34" s="42" t="s">
        <v>12</v>
      </c>
      <c r="K34" s="43" t="s">
        <v>4</v>
      </c>
      <c r="L34" s="19" t="s">
        <v>5</v>
      </c>
      <c r="M34" s="19" t="s">
        <v>6</v>
      </c>
      <c r="N34" s="19" t="s">
        <v>7</v>
      </c>
      <c r="O34" s="19" t="s">
        <v>8</v>
      </c>
      <c r="P34" s="19" t="s">
        <v>9</v>
      </c>
      <c r="Q34" s="19" t="s">
        <v>10</v>
      </c>
      <c r="R34" s="19" t="s">
        <v>11</v>
      </c>
      <c r="S34" s="20" t="s">
        <v>12</v>
      </c>
      <c r="T34" s="11"/>
    </row>
    <row r="35" ht="14.25" customHeight="1">
      <c r="A35" s="21" t="s">
        <v>13</v>
      </c>
      <c r="B35" s="44">
        <f>0+2+2-1+1+1-1-1+1+2-1+1</f>
        <v>6</v>
      </c>
      <c r="C35" s="44">
        <f>0+1-1+1</f>
        <v>1</v>
      </c>
      <c r="D35" s="44">
        <f>0+7+2-1+1+1-1+1-8+8-1</f>
        <v>9</v>
      </c>
      <c r="E35" s="44">
        <f>0+8+1-1-1+1+1+1-1+1-2-1+2-1+1+1-1</f>
        <v>9</v>
      </c>
      <c r="F35" s="44">
        <f>0+6+1-1+1+1-1+1-1+1</f>
        <v>8</v>
      </c>
      <c r="G35" s="44">
        <f>0+4-1+1-1+1+1-1+1+1</f>
        <v>6</v>
      </c>
      <c r="H35" s="44">
        <f>0+1-1+1+1+4</f>
        <v>6</v>
      </c>
      <c r="I35" s="44">
        <f>0</f>
        <v>0</v>
      </c>
      <c r="J35" s="44">
        <f>0+5-1+1+1</f>
        <v>6</v>
      </c>
      <c r="K35" s="44">
        <f>0+6-2-1-1+1+1+1-1+1+2</f>
        <v>7</v>
      </c>
      <c r="L35" s="44">
        <f>0+16+1+1+1-1-1+1+1+1-1-2-1-4-2-1+1+1+4+2-3+3+1+1+2+1+1-1</f>
        <v>22</v>
      </c>
      <c r="M35" s="44">
        <f>0+14-2-1+1+1-1+1+1+1+1-5-2+5-1-2+2+1-1-3+1+2-4-9+10+5+4-2+3+2-4-1+4+2-6-1+1+1</f>
        <v>18</v>
      </c>
      <c r="N35" s="44">
        <f>0+20+6-1+1-1-1-1-1+1+1+1-8-1-8-1+8+8+1+1-1-1-1+1+1+1-10+10-1+1-1+1+1-2+1+3</f>
        <v>28</v>
      </c>
      <c r="O35" s="44">
        <f>0+9+1-2-1-1-1+1+1+1-1+1-2-2+2+2-4-2-1-1+2-2+4+1+3+3-7+7-1+2+2+1-3+3</f>
        <v>15</v>
      </c>
      <c r="P35" s="44">
        <f>0+6+2-1-1-1+1+1+1+1-3+3+1+1</f>
        <v>11</v>
      </c>
      <c r="Q35" s="44">
        <f>0+5-2-1+2+1+1-1-1+1+1</f>
        <v>6</v>
      </c>
      <c r="R35" s="44">
        <f>0+4-1+1-1+1+1-1+1+1</f>
        <v>6</v>
      </c>
      <c r="S35" s="44">
        <f>0+6-1+1+1-1</f>
        <v>6</v>
      </c>
      <c r="T35" s="45">
        <f t="shared" ref="T35:T41" si="11">SUM(B35:S35)</f>
        <v>170</v>
      </c>
    </row>
    <row r="36" ht="14.25" customHeight="1">
      <c r="A36" s="21" t="s">
        <v>14</v>
      </c>
      <c r="B36" s="44">
        <f>0+6-1+1</f>
        <v>6</v>
      </c>
      <c r="C36" s="44">
        <f>0+2+2-1+1+1-2-3</f>
        <v>0</v>
      </c>
      <c r="D36" s="44">
        <f>0+6-2+1-1</f>
        <v>4</v>
      </c>
      <c r="E36" s="44">
        <f>0+4+1-1-1+1-1</f>
        <v>3</v>
      </c>
      <c r="F36" s="44">
        <f>0+4+1-1</f>
        <v>4</v>
      </c>
      <c r="G36" s="44">
        <f>0+5-1</f>
        <v>4</v>
      </c>
      <c r="H36" s="44">
        <f>0+5-1+1-1</f>
        <v>4</v>
      </c>
      <c r="I36" s="44">
        <f>0+4-1+1+1</f>
        <v>5</v>
      </c>
      <c r="J36" s="44">
        <f>0+4</f>
        <v>4</v>
      </c>
      <c r="K36" s="44">
        <f>0+6+1-4+4-2</f>
        <v>5</v>
      </c>
      <c r="L36" s="44">
        <f>0+12-1-1-2+1-3+3-1</f>
        <v>8</v>
      </c>
      <c r="M36" s="44">
        <f>0+25-1-3+3+1-2+2+1+2+1-2+2-2-4+1-1-2+2-5+5-2-1-1+2+1+1-1</f>
        <v>22</v>
      </c>
      <c r="N36" s="44">
        <f>0+12+5+2-1-2-1+2+1-4-7+4+7-2-1-1+2+2-10+10-1-3+1-4+4-5+5-2+2-3</f>
        <v>12</v>
      </c>
      <c r="O36" s="44">
        <f>0+13-1+1-1-4-4-1-1+1+4+1-3-3+5-4+4-5+5-3</f>
        <v>4</v>
      </c>
      <c r="P36" s="44">
        <f>0+5+2-1+1-1+1-1-1+1+1-1+2+1-1-2+2+1-1</f>
        <v>8</v>
      </c>
      <c r="Q36" s="44">
        <f t="shared" ref="Q36:R36" si="10">0+5-1+1</f>
        <v>5</v>
      </c>
      <c r="R36" s="44">
        <f t="shared" si="10"/>
        <v>5</v>
      </c>
      <c r="S36" s="44">
        <f>0+5-1+1</f>
        <v>5</v>
      </c>
      <c r="T36" s="46">
        <f t="shared" si="11"/>
        <v>108</v>
      </c>
    </row>
    <row r="37" ht="14.25" customHeight="1">
      <c r="A37" s="21" t="s">
        <v>40</v>
      </c>
      <c r="B37" s="44">
        <f>0+3-1+1</f>
        <v>3</v>
      </c>
      <c r="C37" s="44">
        <f>0+3+2-1+1</f>
        <v>5</v>
      </c>
      <c r="D37" s="44">
        <f>0+8-1+1+1-1+1+1</f>
        <v>10</v>
      </c>
      <c r="E37" s="44">
        <f>0+6+1</f>
        <v>7</v>
      </c>
      <c r="F37" s="44">
        <f>0+9+1</f>
        <v>10</v>
      </c>
      <c r="G37" s="44">
        <f t="shared" ref="G37:H37" si="12">0+5</f>
        <v>5</v>
      </c>
      <c r="H37" s="44">
        <f t="shared" si="12"/>
        <v>5</v>
      </c>
      <c r="I37" s="44">
        <f>0+5-1</f>
        <v>4</v>
      </c>
      <c r="J37" s="44">
        <f>0+3+1</f>
        <v>4</v>
      </c>
      <c r="K37" s="44">
        <f>0+4-1+1-1+1+3</f>
        <v>7</v>
      </c>
      <c r="L37" s="44">
        <f>0+10-1+1-1+1+1-3+3-2+2</f>
        <v>11</v>
      </c>
      <c r="M37" s="44">
        <f>0+10-1+1-4+4-1+1-1+1-2+2-6+6-10+10-1-1+1+1-1+1-2+2</f>
        <v>10</v>
      </c>
      <c r="N37" s="44">
        <f>0+8+2-4+4-1+1-8+8-3+3-1-1-6+1+3-1+1-4+6+1+4-5+5</f>
        <v>13</v>
      </c>
      <c r="O37" s="44">
        <f>0+8-1+1-1+1-2+2-1-2+3-5+2-2+5-8+8-1+1-1+1</f>
        <v>8</v>
      </c>
      <c r="P37" s="44">
        <f>0+8+1-1+1-1+1+1-1+1</f>
        <v>10</v>
      </c>
      <c r="Q37" s="44">
        <f>0+5-1+1</f>
        <v>5</v>
      </c>
      <c r="R37" s="44">
        <f t="shared" ref="R37:S37" si="13">0+4</f>
        <v>4</v>
      </c>
      <c r="S37" s="44">
        <f t="shared" si="13"/>
        <v>4</v>
      </c>
      <c r="T37" s="45">
        <f t="shared" si="11"/>
        <v>125</v>
      </c>
    </row>
    <row r="38" ht="14.25" customHeight="1">
      <c r="A38" s="21" t="s">
        <v>16</v>
      </c>
      <c r="B38" s="44">
        <f>0+3-1+1</f>
        <v>3</v>
      </c>
      <c r="C38" s="44">
        <f>0+6-1+1-1+1-2+2</f>
        <v>6</v>
      </c>
      <c r="D38" s="44">
        <f>0+5-1-1+1+1-3+3</f>
        <v>5</v>
      </c>
      <c r="E38" s="44">
        <f>0+6-1+1+1-3+3</f>
        <v>7</v>
      </c>
      <c r="F38" s="44">
        <f>0+4-1+1+1</f>
        <v>5</v>
      </c>
      <c r="G38" s="44">
        <f t="shared" ref="G38:H38" si="14">0+3</f>
        <v>3</v>
      </c>
      <c r="H38" s="44">
        <f t="shared" si="14"/>
        <v>3</v>
      </c>
      <c r="I38" s="44">
        <f>0+1</f>
        <v>1</v>
      </c>
      <c r="J38" s="44">
        <f>0+5-1+1+1-1</f>
        <v>5</v>
      </c>
      <c r="K38" s="44">
        <f t="shared" ref="K38:K39" si="16">0+5</f>
        <v>5</v>
      </c>
      <c r="L38" s="44">
        <f>0+10-2+2</f>
        <v>10</v>
      </c>
      <c r="M38" s="44">
        <f>0+13-2+2-1-9+9</f>
        <v>12</v>
      </c>
      <c r="N38" s="44">
        <f>0+10+2-1+1-1+1-1+1-1+1-10-1+10-1+1</f>
        <v>11</v>
      </c>
      <c r="O38" s="44">
        <f>0+10-4+4</f>
        <v>10</v>
      </c>
      <c r="P38" s="47">
        <f>0+9-1+1-1+1-2+2</f>
        <v>9</v>
      </c>
      <c r="Q38" s="44">
        <f>0+7-1</f>
        <v>6</v>
      </c>
      <c r="R38" s="44">
        <f>0+4+1</f>
        <v>5</v>
      </c>
      <c r="S38" s="44">
        <f>0+5</f>
        <v>5</v>
      </c>
      <c r="T38" s="45">
        <f t="shared" si="11"/>
        <v>111</v>
      </c>
    </row>
    <row r="39" ht="14.25" customHeight="1">
      <c r="A39" s="21" t="s">
        <v>17</v>
      </c>
      <c r="B39" s="44">
        <f t="shared" ref="B39:B40" si="17">0+3</f>
        <v>3</v>
      </c>
      <c r="C39" s="44">
        <f>0+4-1+1</f>
        <v>4</v>
      </c>
      <c r="D39" s="44">
        <f>0+6</f>
        <v>6</v>
      </c>
      <c r="E39" s="44">
        <f>0+5</f>
        <v>5</v>
      </c>
      <c r="F39" s="44">
        <f>0+4-1+1-1+1</f>
        <v>4</v>
      </c>
      <c r="G39" s="44">
        <f t="shared" ref="G39:H39" si="15">0+3</f>
        <v>3</v>
      </c>
      <c r="H39" s="44">
        <f t="shared" si="15"/>
        <v>3</v>
      </c>
      <c r="I39" s="44">
        <f>0+4</f>
        <v>4</v>
      </c>
      <c r="J39" s="44">
        <f>0+3</f>
        <v>3</v>
      </c>
      <c r="K39" s="44">
        <f t="shared" si="16"/>
        <v>5</v>
      </c>
      <c r="L39" s="44">
        <f>0+11-5+5</f>
        <v>11</v>
      </c>
      <c r="M39" s="44">
        <f>0+10-9+9-1+1-2+2-1-7+7</f>
        <v>9</v>
      </c>
      <c r="N39" s="44">
        <f>0+10-4+4-1+1-1</f>
        <v>9</v>
      </c>
      <c r="O39" s="44">
        <f>0+10-1</f>
        <v>9</v>
      </c>
      <c r="P39" s="44">
        <f>0+7+1</f>
        <v>8</v>
      </c>
      <c r="Q39" s="44">
        <f>0+5+1-1</f>
        <v>5</v>
      </c>
      <c r="R39" s="44">
        <f t="shared" ref="R39:R40" si="19">0+4</f>
        <v>4</v>
      </c>
      <c r="S39" s="44">
        <f>0+3</f>
        <v>3</v>
      </c>
      <c r="T39" s="45">
        <f t="shared" si="11"/>
        <v>98</v>
      </c>
    </row>
    <row r="40" ht="14.25" customHeight="1">
      <c r="A40" s="21" t="s">
        <v>18</v>
      </c>
      <c r="B40" s="44">
        <f t="shared" si="17"/>
        <v>3</v>
      </c>
      <c r="C40" s="44">
        <f>0+4+3</f>
        <v>7</v>
      </c>
      <c r="D40" s="44">
        <f>0+2+3+1-1+1</f>
        <v>6</v>
      </c>
      <c r="E40" s="44">
        <f>0+4+3-1</f>
        <v>6</v>
      </c>
      <c r="F40" s="44">
        <f>0+2+3</f>
        <v>5</v>
      </c>
      <c r="G40" s="44">
        <f t="shared" ref="G40:I40" si="18">0+3</f>
        <v>3</v>
      </c>
      <c r="H40" s="44">
        <f t="shared" si="18"/>
        <v>3</v>
      </c>
      <c r="I40" s="44">
        <f t="shared" si="18"/>
        <v>3</v>
      </c>
      <c r="J40" s="44">
        <f>0+6-3</f>
        <v>3</v>
      </c>
      <c r="K40" s="44">
        <f>0+2+3-1+1+3</f>
        <v>8</v>
      </c>
      <c r="L40" s="44">
        <f>0+7+3</f>
        <v>10</v>
      </c>
      <c r="M40" s="44">
        <f>0+7+3-2+2</f>
        <v>10</v>
      </c>
      <c r="N40" s="44">
        <f>0+6+3-2+2</f>
        <v>9</v>
      </c>
      <c r="O40" s="44">
        <f>0+6+3-1+1-1+1-1+1+1</f>
        <v>10</v>
      </c>
      <c r="P40" s="44">
        <f>0+2+3-4+4</f>
        <v>5</v>
      </c>
      <c r="Q40" s="44">
        <f>0+6</f>
        <v>6</v>
      </c>
      <c r="R40" s="44">
        <f t="shared" si="19"/>
        <v>4</v>
      </c>
      <c r="S40" s="44">
        <f>0+1</f>
        <v>1</v>
      </c>
      <c r="T40" s="45">
        <f t="shared" si="11"/>
        <v>102</v>
      </c>
    </row>
    <row r="41" ht="14.25" customHeight="1">
      <c r="A41" s="21" t="s">
        <v>19</v>
      </c>
      <c r="B41" s="44">
        <f>0+2+1</f>
        <v>3</v>
      </c>
      <c r="C41" s="44">
        <f>0+5+1</f>
        <v>6</v>
      </c>
      <c r="D41" s="47">
        <f>0+16-1+1</f>
        <v>16</v>
      </c>
      <c r="E41" s="44">
        <f>0+3-1+1-1+1+1</f>
        <v>4</v>
      </c>
      <c r="F41" s="44">
        <f>0+4</f>
        <v>4</v>
      </c>
      <c r="G41" s="44">
        <f>0+3</f>
        <v>3</v>
      </c>
      <c r="H41" s="44">
        <f>0+3-1+1</f>
        <v>3</v>
      </c>
      <c r="I41" s="44">
        <f t="shared" ref="I41:J41" si="20">0+3</f>
        <v>3</v>
      </c>
      <c r="J41" s="44">
        <f t="shared" si="20"/>
        <v>3</v>
      </c>
      <c r="K41" s="44">
        <f>0+6-1+1-1+1</f>
        <v>6</v>
      </c>
      <c r="L41" s="44">
        <f>0+11-5+5-1+1+1-1+1</f>
        <v>12</v>
      </c>
      <c r="M41" s="44">
        <f>0+25-10+10-1+1-2-1+1+2+1-1+1</f>
        <v>26</v>
      </c>
      <c r="N41" s="44">
        <f>0+8-4+4+1-1+1-1+1-1+1-1-1</f>
        <v>7</v>
      </c>
      <c r="O41" s="44">
        <f>0+11-1-1+1-1-2+1+2+2</f>
        <v>12</v>
      </c>
      <c r="P41" s="44">
        <f>0+4-1+1-1+1</f>
        <v>4</v>
      </c>
      <c r="Q41" s="44">
        <f>0+4+1</f>
        <v>5</v>
      </c>
      <c r="R41" s="44">
        <f>0+4-1+1</f>
        <v>4</v>
      </c>
      <c r="S41" s="44">
        <f>0+4</f>
        <v>4</v>
      </c>
      <c r="T41" s="45">
        <f t="shared" si="11"/>
        <v>125</v>
      </c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48">
        <f>SUM(T35:T41)</f>
        <v>839</v>
      </c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1"/>
    </row>
    <row r="44" ht="14.25" customHeight="1">
      <c r="A44" s="7"/>
      <c r="B44" s="49" t="s">
        <v>41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11"/>
    </row>
    <row r="45" ht="14.25" customHeight="1">
      <c r="A45" s="7"/>
      <c r="B45" s="52" t="s">
        <v>42</v>
      </c>
      <c r="C45" s="3"/>
      <c r="D45" s="3"/>
      <c r="E45" s="3"/>
      <c r="F45" s="3"/>
      <c r="G45" s="3"/>
      <c r="H45" s="3"/>
      <c r="I45" s="3"/>
      <c r="J45" s="53"/>
      <c r="K45" s="54"/>
      <c r="L45" s="7"/>
      <c r="M45" s="7"/>
      <c r="N45" s="7"/>
      <c r="O45" s="7"/>
      <c r="P45" s="7"/>
      <c r="Q45" s="7"/>
      <c r="R45" s="7"/>
      <c r="S45" s="7"/>
      <c r="T45" s="55"/>
    </row>
    <row r="46" ht="14.25" customHeight="1">
      <c r="A46" s="16" t="s">
        <v>3</v>
      </c>
      <c r="B46" s="56" t="s">
        <v>4</v>
      </c>
      <c r="C46" s="56" t="s">
        <v>5</v>
      </c>
      <c r="D46" s="56" t="s">
        <v>6</v>
      </c>
      <c r="E46" s="56" t="s">
        <v>7</v>
      </c>
      <c r="F46" s="56" t="s">
        <v>8</v>
      </c>
      <c r="G46" s="56" t="s">
        <v>9</v>
      </c>
      <c r="H46" s="56" t="s">
        <v>10</v>
      </c>
      <c r="I46" s="56" t="s">
        <v>11</v>
      </c>
      <c r="J46" s="57" t="s">
        <v>12</v>
      </c>
      <c r="K46" s="54"/>
      <c r="L46" s="7"/>
      <c r="M46" s="7"/>
      <c r="N46" s="7"/>
      <c r="O46" s="7"/>
      <c r="P46" s="7"/>
      <c r="Q46" s="7"/>
      <c r="R46" s="7"/>
      <c r="S46" s="7"/>
      <c r="T46" s="55"/>
    </row>
    <row r="47" ht="14.25" customHeight="1">
      <c r="A47" s="21" t="s">
        <v>13</v>
      </c>
      <c r="B47" s="44">
        <f>0+4-2+2</f>
        <v>4</v>
      </c>
      <c r="C47" s="44">
        <f>0+9+3+3-3-3-1+3+1-1</f>
        <v>11</v>
      </c>
      <c r="D47" s="44">
        <f>0+4+7+7-1-3-6+1+3+6-1-1+1-1-2+1+2+1-1+1-4+4-2+2</f>
        <v>18</v>
      </c>
      <c r="E47" s="44">
        <f>0+10+2+2-1-2-2+2+2-3+3-1+1-4+4+1-1-2+2-2+2</f>
        <v>13</v>
      </c>
      <c r="F47" s="44">
        <f>0+7+1+1-2-2+2+2-1-1+1+1-1+1</f>
        <v>9</v>
      </c>
      <c r="G47" s="44">
        <f>0+5</f>
        <v>5</v>
      </c>
      <c r="H47" s="44">
        <f>0+4-1+1-2+2</f>
        <v>4</v>
      </c>
      <c r="I47" s="44">
        <f>0+4</f>
        <v>4</v>
      </c>
      <c r="J47" s="44">
        <f>0+3-2+2</f>
        <v>3</v>
      </c>
      <c r="K47" s="58">
        <f t="shared" ref="K47:K52" si="21">SUM(B47:J47)</f>
        <v>71</v>
      </c>
      <c r="L47" s="59"/>
      <c r="M47" s="7"/>
      <c r="N47" s="7"/>
      <c r="O47" s="7"/>
      <c r="P47" s="7"/>
      <c r="Q47" s="7"/>
      <c r="R47" s="7"/>
      <c r="S47" s="7"/>
      <c r="T47" s="55"/>
    </row>
    <row r="48" ht="14.25" customHeight="1">
      <c r="A48" s="21" t="s">
        <v>14</v>
      </c>
      <c r="B48" s="44">
        <f>0+3</f>
        <v>3</v>
      </c>
      <c r="C48" s="44">
        <f>0+6+3+1+2-1+1</f>
        <v>12</v>
      </c>
      <c r="D48" s="44">
        <f>0+5+7+7-1+1</f>
        <v>19</v>
      </c>
      <c r="E48" s="44">
        <f>0+8+2+2-1+1+1-1+1</f>
        <v>13</v>
      </c>
      <c r="F48" s="44">
        <f>0+9+1+1-1</f>
        <v>10</v>
      </c>
      <c r="G48" s="44">
        <f>0+6</f>
        <v>6</v>
      </c>
      <c r="H48" s="44">
        <f>0+5-1+1-1+1</f>
        <v>5</v>
      </c>
      <c r="I48" s="44">
        <f>0+4-1+1</f>
        <v>4</v>
      </c>
      <c r="J48" s="44">
        <f>0+4</f>
        <v>4</v>
      </c>
      <c r="K48" s="58">
        <f t="shared" si="21"/>
        <v>76</v>
      </c>
      <c r="L48" s="59"/>
      <c r="M48" s="7"/>
      <c r="N48" s="7"/>
      <c r="O48" s="7"/>
      <c r="P48" s="7"/>
      <c r="Q48" s="7"/>
      <c r="R48" s="7"/>
      <c r="S48" s="7"/>
      <c r="T48" s="55"/>
    </row>
    <row r="49" ht="14.25" customHeight="1">
      <c r="A49" s="21" t="s">
        <v>43</v>
      </c>
      <c r="B49" s="44">
        <f>0+3+1</f>
        <v>4</v>
      </c>
      <c r="C49" s="44">
        <f>0+2+3+3-1</f>
        <v>7</v>
      </c>
      <c r="D49" s="44">
        <f>0+4+1+6+7+1</f>
        <v>19</v>
      </c>
      <c r="E49" s="44">
        <f>0+4+2+3-1-1+1-1+1</f>
        <v>8</v>
      </c>
      <c r="F49" s="44">
        <f>0+5+1+1-1-1+1</f>
        <v>6</v>
      </c>
      <c r="G49" s="44">
        <f>0+4-1+1</f>
        <v>4</v>
      </c>
      <c r="H49" s="44">
        <f>0+4-1+1-1+1</f>
        <v>4</v>
      </c>
      <c r="I49" s="44">
        <f t="shared" ref="I49:J49" si="22">0+4</f>
        <v>4</v>
      </c>
      <c r="J49" s="44">
        <f t="shared" si="22"/>
        <v>4</v>
      </c>
      <c r="K49" s="58">
        <f t="shared" si="21"/>
        <v>60</v>
      </c>
      <c r="L49" s="59"/>
      <c r="M49" s="7"/>
      <c r="N49" s="7"/>
      <c r="O49" s="7"/>
      <c r="P49" s="7"/>
      <c r="Q49" s="7"/>
      <c r="R49" s="7"/>
      <c r="S49" s="7"/>
      <c r="T49" s="55"/>
    </row>
    <row r="50" ht="14.25" customHeight="1">
      <c r="A50" s="21" t="s">
        <v>17</v>
      </c>
      <c r="B50" s="44">
        <f>0+3-1+1-1+1</f>
        <v>3</v>
      </c>
      <c r="C50" s="44">
        <f>0+7</f>
        <v>7</v>
      </c>
      <c r="D50" s="44">
        <f>0+8-1+1-4+4-1+1</f>
        <v>8</v>
      </c>
      <c r="E50" s="44">
        <f>0+8-1+1</f>
        <v>8</v>
      </c>
      <c r="F50" s="44">
        <f>0+5-2+2-1+1</f>
        <v>5</v>
      </c>
      <c r="G50" s="44">
        <f>0+7-3</f>
        <v>4</v>
      </c>
      <c r="H50" s="44">
        <f>0+1+2-1+1-1+1</f>
        <v>3</v>
      </c>
      <c r="I50" s="44">
        <f>0+4</f>
        <v>4</v>
      </c>
      <c r="J50" s="44">
        <f>0+4-1+1</f>
        <v>4</v>
      </c>
      <c r="K50" s="58">
        <f t="shared" si="21"/>
        <v>46</v>
      </c>
      <c r="L50" s="59"/>
      <c r="M50" s="7"/>
      <c r="N50" s="7"/>
      <c r="O50" s="7"/>
      <c r="P50" s="7"/>
      <c r="Q50" s="7"/>
      <c r="R50" s="7"/>
      <c r="S50" s="7"/>
      <c r="T50" s="55"/>
    </row>
    <row r="51" ht="14.25" customHeight="1">
      <c r="A51" s="21" t="s">
        <v>18</v>
      </c>
      <c r="B51" s="44">
        <f>0+2-1+1</f>
        <v>2</v>
      </c>
      <c r="C51" s="44">
        <f>0+2-1+1-1+3</f>
        <v>4</v>
      </c>
      <c r="D51" s="44">
        <f>0+1</f>
        <v>1</v>
      </c>
      <c r="E51" s="44">
        <f>0</f>
        <v>0</v>
      </c>
      <c r="F51" s="44">
        <f>0+5</f>
        <v>5</v>
      </c>
      <c r="G51" s="44">
        <f>0+3-1+1</f>
        <v>3</v>
      </c>
      <c r="H51" s="44">
        <f t="shared" ref="H51:J51" si="23">0+4</f>
        <v>4</v>
      </c>
      <c r="I51" s="44">
        <f t="shared" si="23"/>
        <v>4</v>
      </c>
      <c r="J51" s="44">
        <f t="shared" si="23"/>
        <v>4</v>
      </c>
      <c r="K51" s="58">
        <f t="shared" si="21"/>
        <v>27</v>
      </c>
      <c r="L51" s="59"/>
      <c r="M51" s="7"/>
      <c r="N51" s="7"/>
      <c r="O51" s="7"/>
      <c r="P51" s="7"/>
      <c r="Q51" s="7"/>
      <c r="R51" s="7"/>
      <c r="S51" s="7"/>
      <c r="T51" s="55"/>
    </row>
    <row r="52" ht="14.25" customHeight="1">
      <c r="A52" s="21" t="s">
        <v>19</v>
      </c>
      <c r="B52" s="44">
        <f>0+5-1+1</f>
        <v>5</v>
      </c>
      <c r="C52" s="44">
        <f>0+10-3-1+1</f>
        <v>7</v>
      </c>
      <c r="D52" s="44">
        <f>0+11-1+1-4+4-1-1+1</f>
        <v>10</v>
      </c>
      <c r="E52" s="44">
        <f>0+8-1+1</f>
        <v>8</v>
      </c>
      <c r="F52" s="44">
        <f>0+16-2+2-7+7</f>
        <v>16</v>
      </c>
      <c r="G52" s="44">
        <f>0+4-1+1-1+1</f>
        <v>4</v>
      </c>
      <c r="H52" s="44">
        <f>0+5-1+1-1+1</f>
        <v>5</v>
      </c>
      <c r="I52" s="44">
        <f>0+4+1</f>
        <v>5</v>
      </c>
      <c r="J52" s="44">
        <f>0+4-1+1</f>
        <v>4</v>
      </c>
      <c r="K52" s="60">
        <f t="shared" si="21"/>
        <v>64</v>
      </c>
      <c r="L52" s="59"/>
      <c r="M52" s="7"/>
      <c r="N52" s="7"/>
      <c r="O52" s="7"/>
      <c r="P52" s="7"/>
      <c r="Q52" s="7"/>
      <c r="R52" s="7"/>
      <c r="S52" s="7"/>
      <c r="T52" s="55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61">
        <f>SUM(K47:K52)</f>
        <v>344</v>
      </c>
      <c r="L53" s="51"/>
      <c r="M53" s="7"/>
      <c r="N53" s="7"/>
      <c r="O53" s="7"/>
      <c r="P53" s="7"/>
      <c r="Q53" s="7"/>
      <c r="R53" s="7"/>
      <c r="S53" s="7"/>
      <c r="T53" s="55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1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1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1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1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1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1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2"/>
      <c r="Q60" s="7"/>
      <c r="R60" s="7"/>
      <c r="S60" s="7"/>
      <c r="T60" s="11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1"/>
    </row>
    <row r="62" ht="14.25" customHeight="1">
      <c r="T62" s="63"/>
    </row>
    <row r="63" ht="14.25" customHeight="1">
      <c r="T63" s="63"/>
    </row>
    <row r="64" ht="14.25" customHeight="1">
      <c r="T64" s="63"/>
    </row>
    <row r="65" ht="14.25" customHeight="1">
      <c r="T65" s="63"/>
    </row>
    <row r="66" ht="14.25" customHeight="1">
      <c r="T66" s="63"/>
    </row>
    <row r="67" ht="14.25" customHeight="1">
      <c r="T67" s="63"/>
    </row>
    <row r="68" ht="14.25" customHeight="1">
      <c r="T68" s="63"/>
    </row>
    <row r="69" ht="14.25" customHeight="1">
      <c r="T69" s="63"/>
    </row>
    <row r="70" ht="14.25" customHeight="1">
      <c r="T70" s="63"/>
    </row>
    <row r="71" ht="14.25" customHeight="1">
      <c r="T71" s="63"/>
    </row>
    <row r="72" ht="14.25" customHeight="1">
      <c r="T72" s="63"/>
    </row>
    <row r="73" ht="14.25" customHeight="1">
      <c r="T73" s="63"/>
    </row>
    <row r="74" ht="14.25" customHeight="1">
      <c r="T74" s="63"/>
    </row>
    <row r="75" ht="14.25" customHeight="1">
      <c r="T75" s="63"/>
    </row>
    <row r="76" ht="14.25" customHeight="1">
      <c r="T76" s="63"/>
    </row>
    <row r="77" ht="14.25" customHeight="1">
      <c r="T77" s="63"/>
    </row>
    <row r="78" ht="14.25" customHeight="1">
      <c r="T78" s="63"/>
    </row>
    <row r="79" ht="14.25" customHeight="1">
      <c r="T79" s="63"/>
    </row>
    <row r="80" ht="14.25" customHeight="1">
      <c r="T80" s="63"/>
    </row>
    <row r="81" ht="14.25" customHeight="1">
      <c r="T81" s="63"/>
    </row>
    <row r="82" ht="14.25" customHeight="1">
      <c r="T82" s="63"/>
    </row>
    <row r="83" ht="14.25" customHeight="1">
      <c r="T83" s="63"/>
    </row>
    <row r="84" ht="14.25" customHeight="1">
      <c r="T84" s="63"/>
    </row>
    <row r="85" ht="14.25" customHeight="1">
      <c r="T85" s="63"/>
    </row>
    <row r="86" ht="14.25" customHeight="1">
      <c r="T86" s="63"/>
    </row>
    <row r="87" ht="14.25" customHeight="1">
      <c r="T87" s="63"/>
    </row>
    <row r="88" ht="14.25" customHeight="1">
      <c r="T88" s="63"/>
    </row>
    <row r="89" ht="14.25" customHeight="1">
      <c r="T89" s="63"/>
    </row>
    <row r="90" ht="14.25" customHeight="1">
      <c r="T90" s="63"/>
    </row>
    <row r="91" ht="14.25" customHeight="1">
      <c r="T91" s="63"/>
    </row>
    <row r="92" ht="14.25" customHeight="1">
      <c r="T92" s="63"/>
    </row>
    <row r="93" ht="14.25" customHeight="1">
      <c r="T93" s="63"/>
    </row>
    <row r="94" ht="14.25" customHeight="1">
      <c r="T94" s="63"/>
    </row>
    <row r="95" ht="14.25" customHeight="1">
      <c r="T95" s="63"/>
    </row>
    <row r="96" ht="14.25" customHeight="1">
      <c r="T96" s="63"/>
    </row>
    <row r="97" ht="14.25" customHeight="1">
      <c r="T97" s="63"/>
    </row>
    <row r="98" ht="14.25" customHeight="1">
      <c r="T98" s="63"/>
    </row>
    <row r="99" ht="14.25" customHeight="1">
      <c r="T99" s="63"/>
    </row>
    <row r="100" ht="14.25" customHeight="1">
      <c r="T100" s="63"/>
    </row>
    <row r="101" ht="14.25" customHeight="1">
      <c r="T101" s="63"/>
    </row>
    <row r="102" ht="14.25" customHeight="1">
      <c r="T102" s="63"/>
    </row>
    <row r="103" ht="14.25" customHeight="1">
      <c r="T103" s="63"/>
    </row>
    <row r="104" ht="14.25" customHeight="1">
      <c r="T104" s="63"/>
    </row>
    <row r="105" ht="14.25" customHeight="1">
      <c r="T105" s="63"/>
    </row>
    <row r="106" ht="14.25" customHeight="1">
      <c r="T106" s="63"/>
    </row>
    <row r="107" ht="14.25" customHeight="1">
      <c r="T107" s="63"/>
    </row>
    <row r="108" ht="14.25" customHeight="1">
      <c r="T108" s="63"/>
    </row>
    <row r="109" ht="14.25" customHeight="1">
      <c r="T109" s="63"/>
    </row>
    <row r="110" ht="14.25" customHeight="1">
      <c r="T110" s="63"/>
    </row>
    <row r="111" ht="14.25" customHeight="1">
      <c r="T111" s="63"/>
    </row>
    <row r="112" ht="14.25" customHeight="1">
      <c r="T112" s="63"/>
    </row>
    <row r="113" ht="14.25" customHeight="1">
      <c r="T113" s="63"/>
    </row>
    <row r="114" ht="14.25" customHeight="1">
      <c r="T114" s="63"/>
    </row>
    <row r="115" ht="14.25" customHeight="1">
      <c r="T115" s="63"/>
    </row>
    <row r="116" ht="14.25" customHeight="1">
      <c r="T116" s="63"/>
    </row>
    <row r="117" ht="14.25" customHeight="1">
      <c r="T117" s="63"/>
    </row>
    <row r="118" ht="14.25" customHeight="1">
      <c r="T118" s="63"/>
    </row>
    <row r="119" ht="14.25" customHeight="1">
      <c r="T119" s="63"/>
    </row>
    <row r="120" ht="14.25" customHeight="1">
      <c r="T120" s="63"/>
    </row>
    <row r="121" ht="14.25" customHeight="1">
      <c r="T121" s="63"/>
    </row>
    <row r="122" ht="14.25" customHeight="1">
      <c r="T122" s="63"/>
    </row>
    <row r="123" ht="14.25" customHeight="1">
      <c r="T123" s="63"/>
    </row>
    <row r="124" ht="14.25" customHeight="1">
      <c r="T124" s="63"/>
    </row>
    <row r="125" ht="14.25" customHeight="1">
      <c r="T125" s="63"/>
    </row>
    <row r="126" ht="14.25" customHeight="1">
      <c r="T126" s="63"/>
    </row>
    <row r="127" ht="14.25" customHeight="1">
      <c r="T127" s="63"/>
    </row>
    <row r="128" ht="14.25" customHeight="1">
      <c r="T128" s="63"/>
    </row>
    <row r="129" ht="14.25" customHeight="1">
      <c r="T129" s="63"/>
    </row>
    <row r="130" ht="14.25" customHeight="1">
      <c r="T130" s="63"/>
    </row>
    <row r="131" ht="14.25" customHeight="1">
      <c r="T131" s="63"/>
    </row>
    <row r="132" ht="14.25" customHeight="1">
      <c r="T132" s="63"/>
    </row>
    <row r="133" ht="14.25" customHeight="1">
      <c r="T133" s="63"/>
    </row>
    <row r="134" ht="14.25" customHeight="1">
      <c r="T134" s="63"/>
    </row>
    <row r="135" ht="14.25" customHeight="1">
      <c r="T135" s="63"/>
    </row>
    <row r="136" ht="14.25" customHeight="1">
      <c r="T136" s="63"/>
    </row>
    <row r="137" ht="14.25" customHeight="1">
      <c r="T137" s="63"/>
    </row>
    <row r="138" ht="14.25" customHeight="1">
      <c r="T138" s="63"/>
    </row>
    <row r="139" ht="14.25" customHeight="1">
      <c r="T139" s="63"/>
    </row>
    <row r="140" ht="14.25" customHeight="1">
      <c r="T140" s="63"/>
    </row>
    <row r="141" ht="14.25" customHeight="1">
      <c r="T141" s="63"/>
    </row>
    <row r="142" ht="14.25" customHeight="1">
      <c r="T142" s="63"/>
    </row>
    <row r="143" ht="14.25" customHeight="1">
      <c r="T143" s="63"/>
    </row>
    <row r="144" ht="14.25" customHeight="1">
      <c r="T144" s="63"/>
    </row>
    <row r="145" ht="14.25" customHeight="1">
      <c r="T145" s="63"/>
    </row>
    <row r="146" ht="14.25" customHeight="1">
      <c r="T146" s="63"/>
    </row>
    <row r="147" ht="14.25" customHeight="1">
      <c r="T147" s="63"/>
    </row>
    <row r="148" ht="14.25" customHeight="1">
      <c r="T148" s="63"/>
    </row>
    <row r="149" ht="14.25" customHeight="1">
      <c r="T149" s="63"/>
    </row>
    <row r="150" ht="14.25" customHeight="1">
      <c r="T150" s="63"/>
    </row>
    <row r="151" ht="14.25" customHeight="1">
      <c r="T151" s="63"/>
    </row>
    <row r="152" ht="14.25" customHeight="1">
      <c r="T152" s="63"/>
    </row>
    <row r="153" ht="14.25" customHeight="1">
      <c r="T153" s="63"/>
    </row>
    <row r="154" ht="14.25" customHeight="1">
      <c r="T154" s="63"/>
    </row>
    <row r="155" ht="14.25" customHeight="1">
      <c r="T155" s="63"/>
    </row>
    <row r="156" ht="14.25" customHeight="1">
      <c r="T156" s="63"/>
    </row>
    <row r="157" ht="14.25" customHeight="1">
      <c r="T157" s="63"/>
    </row>
    <row r="158" ht="14.25" customHeight="1">
      <c r="T158" s="63"/>
    </row>
    <row r="159" ht="14.25" customHeight="1">
      <c r="T159" s="63"/>
    </row>
    <row r="160" ht="14.25" customHeight="1">
      <c r="T160" s="63"/>
    </row>
    <row r="161" ht="14.25" customHeight="1">
      <c r="T161" s="63"/>
    </row>
    <row r="162" ht="14.25" customHeight="1">
      <c r="T162" s="63"/>
    </row>
    <row r="163" ht="14.25" customHeight="1">
      <c r="T163" s="63"/>
    </row>
    <row r="164" ht="14.25" customHeight="1">
      <c r="T164" s="63"/>
    </row>
    <row r="165" ht="14.25" customHeight="1">
      <c r="T165" s="63"/>
    </row>
    <row r="166" ht="14.25" customHeight="1">
      <c r="T166" s="63"/>
    </row>
    <row r="167" ht="14.25" customHeight="1">
      <c r="T167" s="63"/>
    </row>
    <row r="168" ht="14.25" customHeight="1">
      <c r="T168" s="63"/>
    </row>
    <row r="169" ht="14.25" customHeight="1">
      <c r="T169" s="63"/>
    </row>
    <row r="170" ht="14.25" customHeight="1">
      <c r="T170" s="63"/>
    </row>
    <row r="171" ht="14.25" customHeight="1">
      <c r="T171" s="63"/>
    </row>
    <row r="172" ht="14.25" customHeight="1">
      <c r="T172" s="63"/>
    </row>
    <row r="173" ht="14.25" customHeight="1">
      <c r="T173" s="63"/>
    </row>
    <row r="174" ht="14.25" customHeight="1">
      <c r="T174" s="63"/>
    </row>
    <row r="175" ht="14.25" customHeight="1">
      <c r="T175" s="63"/>
    </row>
    <row r="176" ht="14.25" customHeight="1">
      <c r="T176" s="63"/>
    </row>
    <row r="177" ht="14.25" customHeight="1">
      <c r="T177" s="63"/>
    </row>
    <row r="178" ht="14.25" customHeight="1">
      <c r="T178" s="63"/>
    </row>
    <row r="179" ht="14.25" customHeight="1">
      <c r="T179" s="63"/>
    </row>
    <row r="180" ht="14.25" customHeight="1">
      <c r="T180" s="63"/>
    </row>
    <row r="181" ht="14.25" customHeight="1">
      <c r="T181" s="63"/>
    </row>
    <row r="182" ht="14.25" customHeight="1">
      <c r="T182" s="63"/>
    </row>
    <row r="183" ht="14.25" customHeight="1">
      <c r="T183" s="63"/>
    </row>
    <row r="184" ht="14.25" customHeight="1">
      <c r="T184" s="63"/>
    </row>
    <row r="185" ht="14.25" customHeight="1">
      <c r="T185" s="63"/>
    </row>
    <row r="186" ht="14.25" customHeight="1">
      <c r="T186" s="63"/>
    </row>
    <row r="187" ht="14.25" customHeight="1">
      <c r="T187" s="63"/>
    </row>
    <row r="188" ht="14.25" customHeight="1">
      <c r="T188" s="63"/>
    </row>
    <row r="189" ht="14.25" customHeight="1">
      <c r="T189" s="63"/>
    </row>
    <row r="190" ht="14.25" customHeight="1">
      <c r="T190" s="63"/>
    </row>
    <row r="191" ht="14.25" customHeight="1">
      <c r="T191" s="63"/>
    </row>
    <row r="192" ht="14.25" customHeight="1">
      <c r="T192" s="63"/>
    </row>
    <row r="193" ht="14.25" customHeight="1">
      <c r="T193" s="63"/>
    </row>
    <row r="194" ht="14.25" customHeight="1">
      <c r="T194" s="63"/>
    </row>
    <row r="195" ht="14.25" customHeight="1">
      <c r="T195" s="63"/>
    </row>
    <row r="196" ht="14.25" customHeight="1">
      <c r="T196" s="63"/>
    </row>
    <row r="197" ht="14.25" customHeight="1">
      <c r="T197" s="63"/>
    </row>
    <row r="198" ht="14.25" customHeight="1">
      <c r="T198" s="63"/>
    </row>
    <row r="199" ht="14.25" customHeight="1">
      <c r="T199" s="63"/>
    </row>
    <row r="200" ht="14.25" customHeight="1">
      <c r="T200" s="63"/>
    </row>
    <row r="201" ht="14.25" customHeight="1">
      <c r="T201" s="63"/>
    </row>
    <row r="202" ht="14.25" customHeight="1">
      <c r="T202" s="63"/>
    </row>
    <row r="203" ht="14.25" customHeight="1">
      <c r="T203" s="63"/>
    </row>
    <row r="204" ht="14.25" customHeight="1">
      <c r="T204" s="63"/>
    </row>
    <row r="205" ht="14.25" customHeight="1">
      <c r="T205" s="63"/>
    </row>
    <row r="206" ht="14.25" customHeight="1">
      <c r="T206" s="63"/>
    </row>
    <row r="207" ht="14.25" customHeight="1">
      <c r="T207" s="63"/>
    </row>
    <row r="208" ht="14.25" customHeight="1">
      <c r="T208" s="63"/>
    </row>
    <row r="209" ht="14.25" customHeight="1">
      <c r="T209" s="63"/>
    </row>
    <row r="210" ht="14.25" customHeight="1">
      <c r="T210" s="63"/>
    </row>
    <row r="211" ht="14.25" customHeight="1">
      <c r="T211" s="63"/>
    </row>
    <row r="212" ht="14.25" customHeight="1">
      <c r="T212" s="63"/>
    </row>
    <row r="213" ht="14.25" customHeight="1">
      <c r="T213" s="63"/>
    </row>
    <row r="214" ht="14.25" customHeight="1">
      <c r="T214" s="63"/>
    </row>
    <row r="215" ht="14.25" customHeight="1">
      <c r="T215" s="63"/>
    </row>
    <row r="216" ht="14.25" customHeight="1">
      <c r="T216" s="63"/>
    </row>
    <row r="217" ht="14.25" customHeight="1">
      <c r="T217" s="63"/>
    </row>
    <row r="218" ht="14.25" customHeight="1">
      <c r="T218" s="63"/>
    </row>
    <row r="219" ht="14.25" customHeight="1">
      <c r="T219" s="63"/>
    </row>
    <row r="220" ht="14.25" customHeight="1">
      <c r="T220" s="63"/>
    </row>
    <row r="221" ht="14.25" customHeight="1">
      <c r="T221" s="63"/>
    </row>
    <row r="222" ht="14.25" customHeight="1">
      <c r="T222" s="63"/>
    </row>
    <row r="223" ht="14.25" customHeight="1">
      <c r="T223" s="63"/>
    </row>
    <row r="224" ht="14.25" customHeight="1">
      <c r="T224" s="63"/>
    </row>
    <row r="225" ht="14.25" customHeight="1">
      <c r="T225" s="63"/>
    </row>
    <row r="226" ht="14.25" customHeight="1">
      <c r="T226" s="63"/>
    </row>
    <row r="227" ht="14.25" customHeight="1">
      <c r="T227" s="63"/>
    </row>
    <row r="228" ht="14.25" customHeight="1">
      <c r="T228" s="63"/>
    </row>
    <row r="229" ht="14.25" customHeight="1">
      <c r="T229" s="63"/>
    </row>
    <row r="230" ht="14.25" customHeight="1">
      <c r="T230" s="63"/>
    </row>
    <row r="231" ht="14.25" customHeight="1">
      <c r="T231" s="63"/>
    </row>
    <row r="232" ht="14.25" customHeight="1">
      <c r="T232" s="63"/>
    </row>
    <row r="233" ht="14.25" customHeight="1">
      <c r="T233" s="63"/>
    </row>
    <row r="234" ht="14.25" customHeight="1">
      <c r="T234" s="63"/>
    </row>
    <row r="235" ht="14.25" customHeight="1">
      <c r="T235" s="63"/>
    </row>
    <row r="236" ht="14.25" customHeight="1">
      <c r="T236" s="63"/>
    </row>
    <row r="237" ht="14.25" customHeight="1">
      <c r="T237" s="63"/>
    </row>
    <row r="238" ht="14.25" customHeight="1">
      <c r="T238" s="63"/>
    </row>
    <row r="239" ht="14.25" customHeight="1">
      <c r="T239" s="63"/>
    </row>
    <row r="240" ht="14.25" customHeight="1">
      <c r="T240" s="63"/>
    </row>
    <row r="241" ht="14.25" customHeight="1">
      <c r="T241" s="63"/>
    </row>
    <row r="242" ht="14.25" customHeight="1">
      <c r="T242" s="63"/>
    </row>
    <row r="243" ht="14.25" customHeight="1">
      <c r="T243" s="63"/>
    </row>
    <row r="244" ht="14.25" customHeight="1">
      <c r="T244" s="63"/>
    </row>
    <row r="245" ht="14.25" customHeight="1">
      <c r="T245" s="63"/>
    </row>
    <row r="246" ht="14.25" customHeight="1">
      <c r="T246" s="63"/>
    </row>
    <row r="247" ht="14.25" customHeight="1">
      <c r="T247" s="63"/>
    </row>
    <row r="248" ht="14.25" customHeight="1">
      <c r="T248" s="63"/>
    </row>
    <row r="249" ht="14.25" customHeight="1">
      <c r="T249" s="63"/>
    </row>
    <row r="250" ht="14.25" customHeight="1">
      <c r="T250" s="63"/>
    </row>
    <row r="251" ht="14.25" customHeight="1">
      <c r="T251" s="63"/>
    </row>
    <row r="252" ht="14.25" customHeight="1">
      <c r="T252" s="63"/>
    </row>
    <row r="253" ht="14.25" customHeight="1">
      <c r="T253" s="63"/>
    </row>
    <row r="254" ht="14.25" customHeight="1">
      <c r="T254" s="63"/>
    </row>
    <row r="255" ht="14.25" customHeight="1">
      <c r="T255" s="63"/>
    </row>
    <row r="256" ht="14.25" customHeight="1">
      <c r="T256" s="63"/>
    </row>
    <row r="257" ht="14.25" customHeight="1">
      <c r="T257" s="63"/>
    </row>
    <row r="258" ht="14.25" customHeight="1">
      <c r="T258" s="63"/>
    </row>
    <row r="259" ht="14.25" customHeight="1">
      <c r="T259" s="63"/>
    </row>
    <row r="260" ht="14.25" customHeight="1">
      <c r="T260" s="63"/>
    </row>
    <row r="261" ht="14.25" customHeight="1">
      <c r="T261" s="63"/>
    </row>
    <row r="262" ht="14.25" customHeight="1">
      <c r="T262" s="63"/>
    </row>
    <row r="263" ht="14.25" customHeight="1">
      <c r="T263" s="63"/>
    </row>
    <row r="264" ht="14.25" customHeight="1">
      <c r="T264" s="63"/>
    </row>
    <row r="265" ht="14.25" customHeight="1">
      <c r="T265" s="63"/>
    </row>
    <row r="266" ht="14.25" customHeight="1">
      <c r="T266" s="63"/>
    </row>
    <row r="267" ht="14.25" customHeight="1">
      <c r="T267" s="63"/>
    </row>
    <row r="268" ht="14.25" customHeight="1">
      <c r="T268" s="63"/>
    </row>
    <row r="269" ht="14.25" customHeight="1">
      <c r="T269" s="63"/>
    </row>
    <row r="270" ht="14.25" customHeight="1">
      <c r="T270" s="63"/>
    </row>
    <row r="271" ht="14.25" customHeight="1">
      <c r="T271" s="63"/>
    </row>
    <row r="272" ht="14.25" customHeight="1">
      <c r="T272" s="63"/>
    </row>
    <row r="273" ht="14.25" customHeight="1">
      <c r="T273" s="63"/>
    </row>
    <row r="274" ht="14.25" customHeight="1">
      <c r="T274" s="63"/>
    </row>
    <row r="275" ht="14.25" customHeight="1">
      <c r="T275" s="63"/>
    </row>
    <row r="276" ht="14.25" customHeight="1">
      <c r="T276" s="63"/>
    </row>
    <row r="277" ht="14.25" customHeight="1">
      <c r="T277" s="63"/>
    </row>
    <row r="278" ht="14.25" customHeight="1">
      <c r="T278" s="63"/>
    </row>
    <row r="279" ht="14.25" customHeight="1">
      <c r="T279" s="63"/>
    </row>
    <row r="280" ht="14.25" customHeight="1">
      <c r="T280" s="63"/>
    </row>
    <row r="281" ht="14.25" customHeight="1">
      <c r="T281" s="63"/>
    </row>
    <row r="282" ht="14.25" customHeight="1">
      <c r="T282" s="63"/>
    </row>
    <row r="283" ht="14.25" customHeight="1">
      <c r="T283" s="63"/>
    </row>
    <row r="284" ht="14.25" customHeight="1">
      <c r="T284" s="63"/>
    </row>
    <row r="285" ht="14.25" customHeight="1">
      <c r="T285" s="63"/>
    </row>
    <row r="286" ht="14.25" customHeight="1">
      <c r="T286" s="63"/>
    </row>
    <row r="287" ht="14.25" customHeight="1">
      <c r="T287" s="63"/>
    </row>
    <row r="288" ht="14.25" customHeight="1">
      <c r="T288" s="63"/>
    </row>
    <row r="289" ht="14.25" customHeight="1">
      <c r="T289" s="63"/>
    </row>
    <row r="290" ht="14.25" customHeight="1">
      <c r="T290" s="63"/>
    </row>
    <row r="291" ht="14.25" customHeight="1">
      <c r="T291" s="63"/>
    </row>
    <row r="292" ht="14.25" customHeight="1">
      <c r="T292" s="63"/>
    </row>
    <row r="293" ht="14.25" customHeight="1">
      <c r="T293" s="63"/>
    </row>
    <row r="294" ht="14.25" customHeight="1">
      <c r="T294" s="63"/>
    </row>
    <row r="295" ht="14.25" customHeight="1">
      <c r="T295" s="63"/>
    </row>
    <row r="296" ht="14.25" customHeight="1">
      <c r="T296" s="63"/>
    </row>
    <row r="297" ht="14.25" customHeight="1">
      <c r="T297" s="63"/>
    </row>
    <row r="298" ht="14.25" customHeight="1">
      <c r="T298" s="63"/>
    </row>
    <row r="299" ht="14.25" customHeight="1">
      <c r="T299" s="63"/>
    </row>
    <row r="300" ht="14.25" customHeight="1">
      <c r="T300" s="63"/>
    </row>
    <row r="301" ht="14.25" customHeight="1">
      <c r="T301" s="63"/>
    </row>
    <row r="302" ht="14.25" customHeight="1">
      <c r="T302" s="63"/>
    </row>
    <row r="303" ht="14.25" customHeight="1">
      <c r="T303" s="63"/>
    </row>
    <row r="304" ht="14.25" customHeight="1">
      <c r="T304" s="63"/>
    </row>
    <row r="305" ht="14.25" customHeight="1">
      <c r="T305" s="63"/>
    </row>
    <row r="306" ht="14.25" customHeight="1">
      <c r="T306" s="63"/>
    </row>
    <row r="307" ht="14.25" customHeight="1">
      <c r="T307" s="63"/>
    </row>
    <row r="308" ht="14.25" customHeight="1">
      <c r="T308" s="63"/>
    </row>
    <row r="309" ht="14.25" customHeight="1">
      <c r="T309" s="63"/>
    </row>
    <row r="310" ht="14.25" customHeight="1">
      <c r="T310" s="63"/>
    </row>
    <row r="311" ht="14.25" customHeight="1">
      <c r="T311" s="63"/>
    </row>
    <row r="312" ht="14.25" customHeight="1">
      <c r="T312" s="63"/>
    </row>
    <row r="313" ht="14.25" customHeight="1">
      <c r="T313" s="63"/>
    </row>
    <row r="314" ht="14.25" customHeight="1">
      <c r="T314" s="63"/>
    </row>
    <row r="315" ht="14.25" customHeight="1">
      <c r="T315" s="63"/>
    </row>
    <row r="316" ht="14.25" customHeight="1">
      <c r="T316" s="63"/>
    </row>
    <row r="317" ht="14.25" customHeight="1">
      <c r="T317" s="63"/>
    </row>
    <row r="318" ht="14.25" customHeight="1">
      <c r="T318" s="63"/>
    </row>
    <row r="319" ht="14.25" customHeight="1">
      <c r="T319" s="63"/>
    </row>
    <row r="320" ht="14.25" customHeight="1">
      <c r="T320" s="63"/>
    </row>
    <row r="321" ht="14.25" customHeight="1">
      <c r="T321" s="63"/>
    </row>
    <row r="322" ht="14.25" customHeight="1">
      <c r="T322" s="63"/>
    </row>
    <row r="323" ht="14.25" customHeight="1">
      <c r="T323" s="63"/>
    </row>
    <row r="324" ht="14.25" customHeight="1">
      <c r="T324" s="63"/>
    </row>
    <row r="325" ht="14.25" customHeight="1">
      <c r="T325" s="63"/>
    </row>
    <row r="326" ht="14.25" customHeight="1">
      <c r="T326" s="63"/>
    </row>
    <row r="327" ht="14.25" customHeight="1">
      <c r="T327" s="63"/>
    </row>
    <row r="328" ht="14.25" customHeight="1">
      <c r="T328" s="63"/>
    </row>
    <row r="329" ht="14.25" customHeight="1">
      <c r="T329" s="63"/>
    </row>
    <row r="330" ht="14.25" customHeight="1">
      <c r="T330" s="63"/>
    </row>
    <row r="331" ht="14.25" customHeight="1">
      <c r="T331" s="63"/>
    </row>
    <row r="332" ht="14.25" customHeight="1">
      <c r="T332" s="63"/>
    </row>
    <row r="333" ht="14.25" customHeight="1">
      <c r="T333" s="63"/>
    </row>
    <row r="334" ht="14.25" customHeight="1">
      <c r="T334" s="63"/>
    </row>
    <row r="335" ht="14.25" customHeight="1">
      <c r="T335" s="63"/>
    </row>
    <row r="336" ht="14.25" customHeight="1">
      <c r="T336" s="63"/>
    </row>
    <row r="337" ht="14.25" customHeight="1">
      <c r="T337" s="63"/>
    </row>
    <row r="338" ht="14.25" customHeight="1">
      <c r="T338" s="63"/>
    </row>
    <row r="339" ht="14.25" customHeight="1">
      <c r="T339" s="63"/>
    </row>
    <row r="340" ht="14.25" customHeight="1">
      <c r="T340" s="63"/>
    </row>
    <row r="341" ht="14.25" customHeight="1">
      <c r="T341" s="63"/>
    </row>
    <row r="342" ht="14.25" customHeight="1">
      <c r="T342" s="63"/>
    </row>
    <row r="343" ht="14.25" customHeight="1">
      <c r="T343" s="63"/>
    </row>
    <row r="344" ht="14.25" customHeight="1">
      <c r="T344" s="63"/>
    </row>
    <row r="345" ht="14.25" customHeight="1">
      <c r="T345" s="63"/>
    </row>
    <row r="346" ht="14.25" customHeight="1">
      <c r="T346" s="63"/>
    </row>
    <row r="347" ht="14.25" customHeight="1">
      <c r="T347" s="63"/>
    </row>
    <row r="348" ht="14.25" customHeight="1">
      <c r="T348" s="63"/>
    </row>
    <row r="349" ht="14.25" customHeight="1">
      <c r="T349" s="63"/>
    </row>
    <row r="350" ht="14.25" customHeight="1">
      <c r="T350" s="63"/>
    </row>
    <row r="351" ht="14.25" customHeight="1">
      <c r="T351" s="63"/>
    </row>
    <row r="352" ht="14.25" customHeight="1">
      <c r="T352" s="63"/>
    </row>
    <row r="353" ht="14.25" customHeight="1">
      <c r="T353" s="63"/>
    </row>
    <row r="354" ht="14.25" customHeight="1">
      <c r="T354" s="63"/>
    </row>
    <row r="355" ht="14.25" customHeight="1">
      <c r="T355" s="63"/>
    </row>
    <row r="356" ht="14.25" customHeight="1">
      <c r="T356" s="63"/>
    </row>
    <row r="357" ht="14.25" customHeight="1">
      <c r="T357" s="63"/>
    </row>
    <row r="358" ht="14.25" customHeight="1">
      <c r="T358" s="63"/>
    </row>
    <row r="359" ht="14.25" customHeight="1">
      <c r="T359" s="63"/>
    </row>
    <row r="360" ht="14.25" customHeight="1">
      <c r="T360" s="63"/>
    </row>
    <row r="361" ht="14.25" customHeight="1">
      <c r="T361" s="63"/>
    </row>
    <row r="362" ht="14.25" customHeight="1">
      <c r="T362" s="63"/>
    </row>
    <row r="363" ht="14.25" customHeight="1">
      <c r="T363" s="63"/>
    </row>
    <row r="364" ht="14.25" customHeight="1">
      <c r="T364" s="63"/>
    </row>
    <row r="365" ht="14.25" customHeight="1">
      <c r="T365" s="63"/>
    </row>
    <row r="366" ht="14.25" customHeight="1">
      <c r="T366" s="63"/>
    </row>
    <row r="367" ht="14.25" customHeight="1">
      <c r="T367" s="63"/>
    </row>
    <row r="368" ht="14.25" customHeight="1">
      <c r="T368" s="63"/>
    </row>
    <row r="369" ht="14.25" customHeight="1">
      <c r="T369" s="63"/>
    </row>
    <row r="370" ht="14.25" customHeight="1">
      <c r="T370" s="63"/>
    </row>
    <row r="371" ht="14.25" customHeight="1">
      <c r="T371" s="63"/>
    </row>
    <row r="372" ht="14.25" customHeight="1">
      <c r="T372" s="63"/>
    </row>
    <row r="373" ht="14.25" customHeight="1">
      <c r="T373" s="63"/>
    </row>
    <row r="374" ht="14.25" customHeight="1">
      <c r="T374" s="63"/>
    </row>
    <row r="375" ht="14.25" customHeight="1">
      <c r="T375" s="63"/>
    </row>
    <row r="376" ht="14.25" customHeight="1">
      <c r="T376" s="63"/>
    </row>
    <row r="377" ht="14.25" customHeight="1">
      <c r="T377" s="63"/>
    </row>
    <row r="378" ht="14.25" customHeight="1">
      <c r="T378" s="63"/>
    </row>
    <row r="379" ht="14.25" customHeight="1">
      <c r="T379" s="63"/>
    </row>
    <row r="380" ht="14.25" customHeight="1">
      <c r="T380" s="63"/>
    </row>
    <row r="381" ht="14.25" customHeight="1">
      <c r="T381" s="63"/>
    </row>
    <row r="382" ht="14.25" customHeight="1">
      <c r="T382" s="63"/>
    </row>
    <row r="383" ht="14.25" customHeight="1">
      <c r="T383" s="63"/>
    </row>
    <row r="384" ht="14.25" customHeight="1">
      <c r="T384" s="63"/>
    </row>
    <row r="385" ht="14.25" customHeight="1">
      <c r="T385" s="63"/>
    </row>
    <row r="386" ht="14.25" customHeight="1">
      <c r="T386" s="63"/>
    </row>
    <row r="387" ht="14.25" customHeight="1">
      <c r="T387" s="63"/>
    </row>
    <row r="388" ht="14.25" customHeight="1">
      <c r="T388" s="63"/>
    </row>
    <row r="389" ht="14.25" customHeight="1">
      <c r="T389" s="63"/>
    </row>
    <row r="390" ht="14.25" customHeight="1">
      <c r="T390" s="63"/>
    </row>
    <row r="391" ht="14.25" customHeight="1">
      <c r="T391" s="63"/>
    </row>
    <row r="392" ht="14.25" customHeight="1">
      <c r="T392" s="63"/>
    </row>
    <row r="393" ht="14.25" customHeight="1">
      <c r="T393" s="63"/>
    </row>
    <row r="394" ht="14.25" customHeight="1">
      <c r="T394" s="63"/>
    </row>
    <row r="395" ht="14.25" customHeight="1">
      <c r="T395" s="63"/>
    </row>
    <row r="396" ht="14.25" customHeight="1">
      <c r="T396" s="63"/>
    </row>
    <row r="397" ht="14.25" customHeight="1">
      <c r="T397" s="63"/>
    </row>
    <row r="398" ht="14.25" customHeight="1">
      <c r="T398" s="63"/>
    </row>
    <row r="399" ht="14.25" customHeight="1">
      <c r="T399" s="63"/>
    </row>
    <row r="400" ht="14.25" customHeight="1">
      <c r="T400" s="63"/>
    </row>
    <row r="401" ht="14.25" customHeight="1">
      <c r="T401" s="63"/>
    </row>
    <row r="402" ht="14.25" customHeight="1">
      <c r="T402" s="63"/>
    </row>
    <row r="403" ht="14.25" customHeight="1">
      <c r="T403" s="63"/>
    </row>
    <row r="404" ht="14.25" customHeight="1">
      <c r="T404" s="63"/>
    </row>
    <row r="405" ht="14.25" customHeight="1">
      <c r="T405" s="63"/>
    </row>
    <row r="406" ht="14.25" customHeight="1">
      <c r="T406" s="63"/>
    </row>
    <row r="407" ht="14.25" customHeight="1">
      <c r="T407" s="63"/>
    </row>
    <row r="408" ht="14.25" customHeight="1">
      <c r="T408" s="63"/>
    </row>
    <row r="409" ht="14.25" customHeight="1">
      <c r="T409" s="63"/>
    </row>
    <row r="410" ht="14.25" customHeight="1">
      <c r="T410" s="63"/>
    </row>
    <row r="411" ht="14.25" customHeight="1">
      <c r="T411" s="63"/>
    </row>
    <row r="412" ht="14.25" customHeight="1">
      <c r="T412" s="63"/>
    </row>
    <row r="413" ht="14.25" customHeight="1">
      <c r="T413" s="63"/>
    </row>
    <row r="414" ht="14.25" customHeight="1">
      <c r="T414" s="63"/>
    </row>
    <row r="415" ht="14.25" customHeight="1">
      <c r="T415" s="63"/>
    </row>
    <row r="416" ht="14.25" customHeight="1">
      <c r="T416" s="63"/>
    </row>
    <row r="417" ht="14.25" customHeight="1">
      <c r="T417" s="63"/>
    </row>
    <row r="418" ht="14.25" customHeight="1">
      <c r="T418" s="63"/>
    </row>
    <row r="419" ht="14.25" customHeight="1">
      <c r="T419" s="63"/>
    </row>
    <row r="420" ht="14.25" customHeight="1">
      <c r="T420" s="63"/>
    </row>
    <row r="421" ht="14.25" customHeight="1">
      <c r="T421" s="63"/>
    </row>
    <row r="422" ht="14.25" customHeight="1">
      <c r="T422" s="63"/>
    </row>
    <row r="423" ht="14.25" customHeight="1">
      <c r="T423" s="63"/>
    </row>
    <row r="424" ht="14.25" customHeight="1">
      <c r="T424" s="63"/>
    </row>
    <row r="425" ht="14.25" customHeight="1">
      <c r="T425" s="63"/>
    </row>
    <row r="426" ht="14.25" customHeight="1">
      <c r="T426" s="63"/>
    </row>
    <row r="427" ht="14.25" customHeight="1">
      <c r="T427" s="63"/>
    </row>
    <row r="428" ht="14.25" customHeight="1">
      <c r="T428" s="63"/>
    </row>
    <row r="429" ht="14.25" customHeight="1">
      <c r="T429" s="63"/>
    </row>
    <row r="430" ht="14.25" customHeight="1">
      <c r="T430" s="63"/>
    </row>
    <row r="431" ht="14.25" customHeight="1">
      <c r="T431" s="63"/>
    </row>
    <row r="432" ht="14.25" customHeight="1">
      <c r="T432" s="63"/>
    </row>
    <row r="433" ht="14.25" customHeight="1">
      <c r="T433" s="63"/>
    </row>
    <row r="434" ht="14.25" customHeight="1">
      <c r="T434" s="63"/>
    </row>
    <row r="435" ht="14.25" customHeight="1">
      <c r="T435" s="63"/>
    </row>
    <row r="436" ht="14.25" customHeight="1">
      <c r="T436" s="63"/>
    </row>
    <row r="437" ht="14.25" customHeight="1">
      <c r="T437" s="63"/>
    </row>
    <row r="438" ht="14.25" customHeight="1">
      <c r="T438" s="63"/>
    </row>
    <row r="439" ht="14.25" customHeight="1">
      <c r="T439" s="63"/>
    </row>
    <row r="440" ht="14.25" customHeight="1">
      <c r="T440" s="63"/>
    </row>
    <row r="441" ht="14.25" customHeight="1">
      <c r="T441" s="63"/>
    </row>
    <row r="442" ht="14.25" customHeight="1">
      <c r="T442" s="63"/>
    </row>
    <row r="443" ht="14.25" customHeight="1">
      <c r="T443" s="63"/>
    </row>
    <row r="444" ht="14.25" customHeight="1">
      <c r="T444" s="63"/>
    </row>
    <row r="445" ht="14.25" customHeight="1">
      <c r="T445" s="63"/>
    </row>
    <row r="446" ht="14.25" customHeight="1">
      <c r="T446" s="63"/>
    </row>
    <row r="447" ht="14.25" customHeight="1">
      <c r="T447" s="63"/>
    </row>
    <row r="448" ht="14.25" customHeight="1">
      <c r="T448" s="63"/>
    </row>
    <row r="449" ht="14.25" customHeight="1">
      <c r="T449" s="63"/>
    </row>
    <row r="450" ht="14.25" customHeight="1">
      <c r="T450" s="63"/>
    </row>
    <row r="451" ht="14.25" customHeight="1">
      <c r="T451" s="63"/>
    </row>
    <row r="452" ht="14.25" customHeight="1">
      <c r="T452" s="63"/>
    </row>
    <row r="453" ht="14.25" customHeight="1">
      <c r="T453" s="63"/>
    </row>
    <row r="454" ht="14.25" customHeight="1">
      <c r="T454" s="63"/>
    </row>
    <row r="455" ht="14.25" customHeight="1">
      <c r="T455" s="63"/>
    </row>
    <row r="456" ht="14.25" customHeight="1">
      <c r="T456" s="63"/>
    </row>
    <row r="457" ht="14.25" customHeight="1">
      <c r="T457" s="63"/>
    </row>
    <row r="458" ht="14.25" customHeight="1">
      <c r="T458" s="63"/>
    </row>
    <row r="459" ht="14.25" customHeight="1">
      <c r="T459" s="63"/>
    </row>
    <row r="460" ht="14.25" customHeight="1">
      <c r="T460" s="63"/>
    </row>
    <row r="461" ht="14.25" customHeight="1">
      <c r="T461" s="63"/>
    </row>
    <row r="462" ht="14.25" customHeight="1">
      <c r="T462" s="63"/>
    </row>
    <row r="463" ht="14.25" customHeight="1">
      <c r="T463" s="63"/>
    </row>
    <row r="464" ht="14.25" customHeight="1">
      <c r="T464" s="63"/>
    </row>
    <row r="465" ht="14.25" customHeight="1">
      <c r="T465" s="63"/>
    </row>
    <row r="466" ht="14.25" customHeight="1">
      <c r="T466" s="63"/>
    </row>
    <row r="467" ht="14.25" customHeight="1">
      <c r="T467" s="63"/>
    </row>
    <row r="468" ht="14.25" customHeight="1">
      <c r="T468" s="63"/>
    </row>
    <row r="469" ht="14.25" customHeight="1">
      <c r="T469" s="63"/>
    </row>
    <row r="470" ht="14.25" customHeight="1">
      <c r="T470" s="63"/>
    </row>
    <row r="471" ht="14.25" customHeight="1">
      <c r="T471" s="63"/>
    </row>
    <row r="472" ht="14.25" customHeight="1">
      <c r="T472" s="63"/>
    </row>
    <row r="473" ht="14.25" customHeight="1">
      <c r="T473" s="63"/>
    </row>
    <row r="474" ht="14.25" customHeight="1">
      <c r="T474" s="63"/>
    </row>
    <row r="475" ht="14.25" customHeight="1">
      <c r="T475" s="63"/>
    </row>
    <row r="476" ht="14.25" customHeight="1">
      <c r="T476" s="63"/>
    </row>
    <row r="477" ht="14.25" customHeight="1">
      <c r="T477" s="63"/>
    </row>
    <row r="478" ht="14.25" customHeight="1">
      <c r="T478" s="63"/>
    </row>
    <row r="479" ht="14.25" customHeight="1">
      <c r="T479" s="63"/>
    </row>
    <row r="480" ht="14.25" customHeight="1">
      <c r="T480" s="63"/>
    </row>
    <row r="481" ht="14.25" customHeight="1">
      <c r="T481" s="63"/>
    </row>
    <row r="482" ht="14.25" customHeight="1">
      <c r="T482" s="63"/>
    </row>
    <row r="483" ht="14.25" customHeight="1">
      <c r="T483" s="63"/>
    </row>
    <row r="484" ht="14.25" customHeight="1">
      <c r="T484" s="63"/>
    </row>
    <row r="485" ht="14.25" customHeight="1">
      <c r="T485" s="63"/>
    </row>
    <row r="486" ht="14.25" customHeight="1">
      <c r="T486" s="63"/>
    </row>
    <row r="487" ht="14.25" customHeight="1">
      <c r="T487" s="63"/>
    </row>
    <row r="488" ht="14.25" customHeight="1">
      <c r="T488" s="63"/>
    </row>
    <row r="489" ht="14.25" customHeight="1">
      <c r="T489" s="63"/>
    </row>
    <row r="490" ht="14.25" customHeight="1">
      <c r="T490" s="63"/>
    </row>
    <row r="491" ht="14.25" customHeight="1">
      <c r="T491" s="63"/>
    </row>
    <row r="492" ht="14.25" customHeight="1">
      <c r="T492" s="63"/>
    </row>
    <row r="493" ht="14.25" customHeight="1">
      <c r="T493" s="63"/>
    </row>
    <row r="494" ht="14.25" customHeight="1">
      <c r="T494" s="63"/>
    </row>
    <row r="495" ht="14.25" customHeight="1">
      <c r="T495" s="63"/>
    </row>
    <row r="496" ht="14.25" customHeight="1">
      <c r="T496" s="63"/>
    </row>
    <row r="497" ht="14.25" customHeight="1">
      <c r="T497" s="63"/>
    </row>
    <row r="498" ht="14.25" customHeight="1">
      <c r="T498" s="63"/>
    </row>
    <row r="499" ht="14.25" customHeight="1">
      <c r="T499" s="63"/>
    </row>
    <row r="500" ht="14.25" customHeight="1">
      <c r="T500" s="63"/>
    </row>
    <row r="501" ht="14.25" customHeight="1">
      <c r="T501" s="63"/>
    </row>
    <row r="502" ht="14.25" customHeight="1">
      <c r="T502" s="63"/>
    </row>
    <row r="503" ht="14.25" customHeight="1">
      <c r="T503" s="63"/>
    </row>
    <row r="504" ht="14.25" customHeight="1">
      <c r="T504" s="63"/>
    </row>
    <row r="505" ht="14.25" customHeight="1">
      <c r="T505" s="63"/>
    </row>
    <row r="506" ht="14.25" customHeight="1">
      <c r="T506" s="63"/>
    </row>
    <row r="507" ht="14.25" customHeight="1">
      <c r="T507" s="63"/>
    </row>
    <row r="508" ht="14.25" customHeight="1">
      <c r="T508" s="63"/>
    </row>
    <row r="509" ht="14.25" customHeight="1">
      <c r="T509" s="63"/>
    </row>
    <row r="510" ht="14.25" customHeight="1">
      <c r="T510" s="63"/>
    </row>
    <row r="511" ht="14.25" customHeight="1">
      <c r="T511" s="63"/>
    </row>
    <row r="512" ht="14.25" customHeight="1">
      <c r="T512" s="63"/>
    </row>
    <row r="513" ht="14.25" customHeight="1">
      <c r="T513" s="63"/>
    </row>
    <row r="514" ht="14.25" customHeight="1">
      <c r="T514" s="63"/>
    </row>
    <row r="515" ht="14.25" customHeight="1">
      <c r="T515" s="63"/>
    </row>
    <row r="516" ht="14.25" customHeight="1">
      <c r="T516" s="63"/>
    </row>
    <row r="517" ht="14.25" customHeight="1">
      <c r="T517" s="63"/>
    </row>
    <row r="518" ht="14.25" customHeight="1">
      <c r="T518" s="63"/>
    </row>
    <row r="519" ht="14.25" customHeight="1">
      <c r="T519" s="63"/>
    </row>
    <row r="520" ht="14.25" customHeight="1">
      <c r="T520" s="63"/>
    </row>
    <row r="521" ht="14.25" customHeight="1">
      <c r="T521" s="63"/>
    </row>
    <row r="522" ht="14.25" customHeight="1">
      <c r="T522" s="63"/>
    </row>
    <row r="523" ht="14.25" customHeight="1">
      <c r="T523" s="63"/>
    </row>
    <row r="524" ht="14.25" customHeight="1">
      <c r="T524" s="63"/>
    </row>
    <row r="525" ht="14.25" customHeight="1">
      <c r="T525" s="63"/>
    </row>
    <row r="526" ht="14.25" customHeight="1">
      <c r="T526" s="63"/>
    </row>
    <row r="527" ht="14.25" customHeight="1">
      <c r="T527" s="63"/>
    </row>
    <row r="528" ht="14.25" customHeight="1">
      <c r="T528" s="63"/>
    </row>
    <row r="529" ht="14.25" customHeight="1">
      <c r="T529" s="63"/>
    </row>
    <row r="530" ht="14.25" customHeight="1">
      <c r="T530" s="63"/>
    </row>
    <row r="531" ht="14.25" customHeight="1">
      <c r="T531" s="63"/>
    </row>
    <row r="532" ht="14.25" customHeight="1">
      <c r="T532" s="63"/>
    </row>
    <row r="533" ht="14.25" customHeight="1">
      <c r="T533" s="63"/>
    </row>
    <row r="534" ht="14.25" customHeight="1">
      <c r="T534" s="63"/>
    </row>
    <row r="535" ht="14.25" customHeight="1">
      <c r="T535" s="63"/>
    </row>
    <row r="536" ht="14.25" customHeight="1">
      <c r="T536" s="63"/>
    </row>
    <row r="537" ht="14.25" customHeight="1">
      <c r="T537" s="63"/>
    </row>
    <row r="538" ht="14.25" customHeight="1">
      <c r="T538" s="63"/>
    </row>
    <row r="539" ht="14.25" customHeight="1">
      <c r="T539" s="63"/>
    </row>
    <row r="540" ht="14.25" customHeight="1">
      <c r="T540" s="63"/>
    </row>
    <row r="541" ht="14.25" customHeight="1">
      <c r="T541" s="63"/>
    </row>
    <row r="542" ht="14.25" customHeight="1">
      <c r="T542" s="63"/>
    </row>
    <row r="543" ht="14.25" customHeight="1">
      <c r="T543" s="63"/>
    </row>
    <row r="544" ht="14.25" customHeight="1">
      <c r="T544" s="63"/>
    </row>
    <row r="545" ht="14.25" customHeight="1">
      <c r="T545" s="63"/>
    </row>
    <row r="546" ht="14.25" customHeight="1">
      <c r="T546" s="63"/>
    </row>
    <row r="547" ht="14.25" customHeight="1">
      <c r="T547" s="63"/>
    </row>
    <row r="548" ht="14.25" customHeight="1">
      <c r="T548" s="63"/>
    </row>
    <row r="549" ht="14.25" customHeight="1">
      <c r="T549" s="63"/>
    </row>
    <row r="550" ht="14.25" customHeight="1">
      <c r="T550" s="63"/>
    </row>
    <row r="551" ht="14.25" customHeight="1">
      <c r="T551" s="63"/>
    </row>
    <row r="552" ht="14.25" customHeight="1">
      <c r="T552" s="63"/>
    </row>
    <row r="553" ht="14.25" customHeight="1">
      <c r="T553" s="63"/>
    </row>
    <row r="554" ht="14.25" customHeight="1">
      <c r="T554" s="63"/>
    </row>
    <row r="555" ht="14.25" customHeight="1">
      <c r="T555" s="63"/>
    </row>
    <row r="556" ht="14.25" customHeight="1">
      <c r="T556" s="63"/>
    </row>
    <row r="557" ht="14.25" customHeight="1">
      <c r="T557" s="63"/>
    </row>
    <row r="558" ht="14.25" customHeight="1">
      <c r="T558" s="63"/>
    </row>
    <row r="559" ht="14.25" customHeight="1">
      <c r="T559" s="63"/>
    </row>
    <row r="560" ht="14.25" customHeight="1">
      <c r="T560" s="63"/>
    </row>
    <row r="561" ht="14.25" customHeight="1">
      <c r="T561" s="63"/>
    </row>
    <row r="562" ht="14.25" customHeight="1">
      <c r="T562" s="63"/>
    </row>
    <row r="563" ht="14.25" customHeight="1">
      <c r="T563" s="63"/>
    </row>
    <row r="564" ht="14.25" customHeight="1">
      <c r="T564" s="63"/>
    </row>
    <row r="565" ht="14.25" customHeight="1">
      <c r="T565" s="63"/>
    </row>
    <row r="566" ht="14.25" customHeight="1">
      <c r="T566" s="63"/>
    </row>
    <row r="567" ht="14.25" customHeight="1">
      <c r="T567" s="63"/>
    </row>
    <row r="568" ht="14.25" customHeight="1">
      <c r="T568" s="63"/>
    </row>
    <row r="569" ht="14.25" customHeight="1">
      <c r="T569" s="63"/>
    </row>
    <row r="570" ht="14.25" customHeight="1">
      <c r="T570" s="63"/>
    </row>
    <row r="571" ht="14.25" customHeight="1">
      <c r="T571" s="63"/>
    </row>
    <row r="572" ht="14.25" customHeight="1">
      <c r="T572" s="63"/>
    </row>
    <row r="573" ht="14.25" customHeight="1">
      <c r="T573" s="63"/>
    </row>
    <row r="574" ht="14.25" customHeight="1">
      <c r="T574" s="63"/>
    </row>
    <row r="575" ht="14.25" customHeight="1">
      <c r="T575" s="63"/>
    </row>
    <row r="576" ht="14.25" customHeight="1">
      <c r="T576" s="63"/>
    </row>
    <row r="577" ht="14.25" customHeight="1">
      <c r="T577" s="63"/>
    </row>
    <row r="578" ht="14.25" customHeight="1">
      <c r="T578" s="63"/>
    </row>
    <row r="579" ht="14.25" customHeight="1">
      <c r="T579" s="63"/>
    </row>
    <row r="580" ht="14.25" customHeight="1">
      <c r="T580" s="63"/>
    </row>
    <row r="581" ht="14.25" customHeight="1">
      <c r="T581" s="63"/>
    </row>
    <row r="582" ht="14.25" customHeight="1">
      <c r="T582" s="63"/>
    </row>
    <row r="583" ht="14.25" customHeight="1">
      <c r="T583" s="63"/>
    </row>
    <row r="584" ht="14.25" customHeight="1">
      <c r="T584" s="63"/>
    </row>
    <row r="585" ht="14.25" customHeight="1">
      <c r="T585" s="63"/>
    </row>
    <row r="586" ht="14.25" customHeight="1">
      <c r="T586" s="63"/>
    </row>
    <row r="587" ht="14.25" customHeight="1">
      <c r="T587" s="63"/>
    </row>
    <row r="588" ht="14.25" customHeight="1">
      <c r="T588" s="63"/>
    </row>
    <row r="589" ht="14.25" customHeight="1">
      <c r="T589" s="63"/>
    </row>
    <row r="590" ht="14.25" customHeight="1">
      <c r="T590" s="63"/>
    </row>
    <row r="591" ht="14.25" customHeight="1">
      <c r="T591" s="63"/>
    </row>
    <row r="592" ht="14.25" customHeight="1">
      <c r="T592" s="63"/>
    </row>
    <row r="593" ht="14.25" customHeight="1">
      <c r="T593" s="63"/>
    </row>
    <row r="594" ht="14.25" customHeight="1">
      <c r="T594" s="63"/>
    </row>
    <row r="595" ht="14.25" customHeight="1">
      <c r="T595" s="63"/>
    </row>
    <row r="596" ht="14.25" customHeight="1">
      <c r="T596" s="63"/>
    </row>
    <row r="597" ht="14.25" customHeight="1">
      <c r="T597" s="63"/>
    </row>
    <row r="598" ht="14.25" customHeight="1">
      <c r="T598" s="63"/>
    </row>
    <row r="599" ht="14.25" customHeight="1">
      <c r="T599" s="63"/>
    </row>
    <row r="600" ht="14.25" customHeight="1">
      <c r="T600" s="63"/>
    </row>
    <row r="601" ht="14.25" customHeight="1">
      <c r="T601" s="63"/>
    </row>
    <row r="602" ht="14.25" customHeight="1">
      <c r="T602" s="63"/>
    </row>
    <row r="603" ht="14.25" customHeight="1">
      <c r="T603" s="63"/>
    </row>
    <row r="604" ht="14.25" customHeight="1">
      <c r="T604" s="63"/>
    </row>
    <row r="605" ht="14.25" customHeight="1">
      <c r="T605" s="63"/>
    </row>
    <row r="606" ht="14.25" customHeight="1">
      <c r="T606" s="63"/>
    </row>
    <row r="607" ht="14.25" customHeight="1">
      <c r="T607" s="63"/>
    </row>
    <row r="608" ht="14.25" customHeight="1">
      <c r="T608" s="63"/>
    </row>
    <row r="609" ht="14.25" customHeight="1">
      <c r="T609" s="63"/>
    </row>
    <row r="610" ht="14.25" customHeight="1">
      <c r="T610" s="63"/>
    </row>
    <row r="611" ht="14.25" customHeight="1">
      <c r="T611" s="63"/>
    </row>
    <row r="612" ht="14.25" customHeight="1">
      <c r="T612" s="63"/>
    </row>
    <row r="613" ht="14.25" customHeight="1">
      <c r="T613" s="63"/>
    </row>
    <row r="614" ht="14.25" customHeight="1">
      <c r="T614" s="63"/>
    </row>
    <row r="615" ht="14.25" customHeight="1">
      <c r="T615" s="63"/>
    </row>
    <row r="616" ht="14.25" customHeight="1">
      <c r="T616" s="63"/>
    </row>
    <row r="617" ht="14.25" customHeight="1">
      <c r="T617" s="63"/>
    </row>
    <row r="618" ht="14.25" customHeight="1">
      <c r="T618" s="63"/>
    </row>
    <row r="619" ht="14.25" customHeight="1">
      <c r="T619" s="63"/>
    </row>
    <row r="620" ht="14.25" customHeight="1">
      <c r="T620" s="63"/>
    </row>
    <row r="621" ht="14.25" customHeight="1">
      <c r="T621" s="63"/>
    </row>
    <row r="622" ht="14.25" customHeight="1">
      <c r="T622" s="63"/>
    </row>
    <row r="623" ht="14.25" customHeight="1">
      <c r="T623" s="63"/>
    </row>
    <row r="624" ht="14.25" customHeight="1">
      <c r="T624" s="63"/>
    </row>
    <row r="625" ht="14.25" customHeight="1">
      <c r="T625" s="63"/>
    </row>
    <row r="626" ht="14.25" customHeight="1">
      <c r="T626" s="63"/>
    </row>
    <row r="627" ht="14.25" customHeight="1">
      <c r="T627" s="63"/>
    </row>
    <row r="628" ht="14.25" customHeight="1">
      <c r="T628" s="63"/>
    </row>
    <row r="629" ht="14.25" customHeight="1">
      <c r="T629" s="63"/>
    </row>
    <row r="630" ht="14.25" customHeight="1">
      <c r="T630" s="63"/>
    </row>
    <row r="631" ht="14.25" customHeight="1">
      <c r="T631" s="63"/>
    </row>
    <row r="632" ht="14.25" customHeight="1">
      <c r="T632" s="63"/>
    </row>
    <row r="633" ht="14.25" customHeight="1">
      <c r="T633" s="63"/>
    </row>
    <row r="634" ht="14.25" customHeight="1">
      <c r="T634" s="63"/>
    </row>
    <row r="635" ht="14.25" customHeight="1">
      <c r="T635" s="63"/>
    </row>
    <row r="636" ht="14.25" customHeight="1">
      <c r="T636" s="63"/>
    </row>
    <row r="637" ht="14.25" customHeight="1">
      <c r="T637" s="63"/>
    </row>
    <row r="638" ht="14.25" customHeight="1">
      <c r="T638" s="63"/>
    </row>
    <row r="639" ht="14.25" customHeight="1">
      <c r="T639" s="63"/>
    </row>
    <row r="640" ht="14.25" customHeight="1">
      <c r="T640" s="63"/>
    </row>
    <row r="641" ht="14.25" customHeight="1">
      <c r="T641" s="63"/>
    </row>
    <row r="642" ht="14.25" customHeight="1">
      <c r="T642" s="63"/>
    </row>
    <row r="643" ht="14.25" customHeight="1">
      <c r="T643" s="63"/>
    </row>
    <row r="644" ht="14.25" customHeight="1">
      <c r="T644" s="63"/>
    </row>
    <row r="645" ht="14.25" customHeight="1">
      <c r="T645" s="63"/>
    </row>
    <row r="646" ht="14.25" customHeight="1">
      <c r="T646" s="63"/>
    </row>
    <row r="647" ht="14.25" customHeight="1">
      <c r="T647" s="63"/>
    </row>
    <row r="648" ht="14.25" customHeight="1">
      <c r="T648" s="63"/>
    </row>
    <row r="649" ht="14.25" customHeight="1">
      <c r="T649" s="63"/>
    </row>
    <row r="650" ht="14.25" customHeight="1">
      <c r="T650" s="63"/>
    </row>
    <row r="651" ht="14.25" customHeight="1">
      <c r="T651" s="63"/>
    </row>
    <row r="652" ht="14.25" customHeight="1">
      <c r="T652" s="63"/>
    </row>
    <row r="653" ht="14.25" customHeight="1">
      <c r="T653" s="63"/>
    </row>
    <row r="654" ht="14.25" customHeight="1">
      <c r="T654" s="63"/>
    </row>
    <row r="655" ht="14.25" customHeight="1">
      <c r="T655" s="63"/>
    </row>
    <row r="656" ht="14.25" customHeight="1">
      <c r="T656" s="63"/>
    </row>
    <row r="657" ht="14.25" customHeight="1">
      <c r="T657" s="63"/>
    </row>
    <row r="658" ht="14.25" customHeight="1">
      <c r="T658" s="63"/>
    </row>
    <row r="659" ht="14.25" customHeight="1">
      <c r="T659" s="63"/>
    </row>
    <row r="660" ht="14.25" customHeight="1">
      <c r="T660" s="63"/>
    </row>
    <row r="661" ht="14.25" customHeight="1">
      <c r="T661" s="63"/>
    </row>
    <row r="662" ht="14.25" customHeight="1">
      <c r="T662" s="63"/>
    </row>
    <row r="663" ht="14.25" customHeight="1">
      <c r="T663" s="63"/>
    </row>
    <row r="664" ht="14.25" customHeight="1">
      <c r="T664" s="63"/>
    </row>
    <row r="665" ht="14.25" customHeight="1">
      <c r="T665" s="63"/>
    </row>
    <row r="666" ht="14.25" customHeight="1">
      <c r="T666" s="63"/>
    </row>
    <row r="667" ht="14.25" customHeight="1">
      <c r="T667" s="63"/>
    </row>
    <row r="668" ht="14.25" customHeight="1">
      <c r="T668" s="63"/>
    </row>
    <row r="669" ht="14.25" customHeight="1">
      <c r="T669" s="63"/>
    </row>
    <row r="670" ht="14.25" customHeight="1">
      <c r="T670" s="63"/>
    </row>
    <row r="671" ht="14.25" customHeight="1">
      <c r="T671" s="63"/>
    </row>
    <row r="672" ht="14.25" customHeight="1">
      <c r="T672" s="63"/>
    </row>
    <row r="673" ht="14.25" customHeight="1">
      <c r="T673" s="63"/>
    </row>
    <row r="674" ht="14.25" customHeight="1">
      <c r="T674" s="63"/>
    </row>
    <row r="675" ht="14.25" customHeight="1">
      <c r="T675" s="63"/>
    </row>
    <row r="676" ht="14.25" customHeight="1">
      <c r="T676" s="63"/>
    </row>
    <row r="677" ht="14.25" customHeight="1">
      <c r="T677" s="63"/>
    </row>
    <row r="678" ht="14.25" customHeight="1">
      <c r="T678" s="63"/>
    </row>
    <row r="679" ht="14.25" customHeight="1">
      <c r="T679" s="63"/>
    </row>
    <row r="680" ht="14.25" customHeight="1">
      <c r="T680" s="63"/>
    </row>
    <row r="681" ht="14.25" customHeight="1">
      <c r="T681" s="63"/>
    </row>
    <row r="682" ht="14.25" customHeight="1">
      <c r="T682" s="63"/>
    </row>
    <row r="683" ht="14.25" customHeight="1">
      <c r="T683" s="63"/>
    </row>
    <row r="684" ht="14.25" customHeight="1">
      <c r="T684" s="63"/>
    </row>
    <row r="685" ht="14.25" customHeight="1">
      <c r="T685" s="63"/>
    </row>
    <row r="686" ht="14.25" customHeight="1">
      <c r="T686" s="63"/>
    </row>
    <row r="687" ht="14.25" customHeight="1">
      <c r="T687" s="63"/>
    </row>
    <row r="688" ht="14.25" customHeight="1">
      <c r="T688" s="63"/>
    </row>
    <row r="689" ht="14.25" customHeight="1">
      <c r="T689" s="63"/>
    </row>
    <row r="690" ht="14.25" customHeight="1">
      <c r="T690" s="63"/>
    </row>
    <row r="691" ht="14.25" customHeight="1">
      <c r="T691" s="63"/>
    </row>
    <row r="692" ht="14.25" customHeight="1">
      <c r="T692" s="63"/>
    </row>
    <row r="693" ht="14.25" customHeight="1">
      <c r="T693" s="63"/>
    </row>
    <row r="694" ht="14.25" customHeight="1">
      <c r="T694" s="63"/>
    </row>
    <row r="695" ht="14.25" customHeight="1">
      <c r="T695" s="63"/>
    </row>
    <row r="696" ht="14.25" customHeight="1">
      <c r="T696" s="63"/>
    </row>
    <row r="697" ht="14.25" customHeight="1">
      <c r="T697" s="63"/>
    </row>
    <row r="698" ht="14.25" customHeight="1">
      <c r="T698" s="63"/>
    </row>
    <row r="699" ht="14.25" customHeight="1">
      <c r="T699" s="63"/>
    </row>
    <row r="700" ht="14.25" customHeight="1">
      <c r="T700" s="63"/>
    </row>
    <row r="701" ht="14.25" customHeight="1">
      <c r="T701" s="63"/>
    </row>
    <row r="702" ht="14.25" customHeight="1">
      <c r="T702" s="63"/>
    </row>
    <row r="703" ht="14.25" customHeight="1">
      <c r="T703" s="63"/>
    </row>
    <row r="704" ht="14.25" customHeight="1">
      <c r="T704" s="63"/>
    </row>
    <row r="705" ht="14.25" customHeight="1">
      <c r="T705" s="63"/>
    </row>
    <row r="706" ht="14.25" customHeight="1">
      <c r="T706" s="63"/>
    </row>
    <row r="707" ht="14.25" customHeight="1">
      <c r="T707" s="63"/>
    </row>
    <row r="708" ht="14.25" customHeight="1">
      <c r="T708" s="63"/>
    </row>
    <row r="709" ht="14.25" customHeight="1">
      <c r="T709" s="63"/>
    </row>
    <row r="710" ht="14.25" customHeight="1">
      <c r="T710" s="63"/>
    </row>
    <row r="711" ht="14.25" customHeight="1">
      <c r="T711" s="63"/>
    </row>
    <row r="712" ht="14.25" customHeight="1">
      <c r="T712" s="63"/>
    </row>
    <row r="713" ht="14.25" customHeight="1">
      <c r="T713" s="63"/>
    </row>
    <row r="714" ht="14.25" customHeight="1">
      <c r="T714" s="63"/>
    </row>
    <row r="715" ht="14.25" customHeight="1">
      <c r="T715" s="63"/>
    </row>
    <row r="716" ht="14.25" customHeight="1">
      <c r="T716" s="63"/>
    </row>
    <row r="717" ht="14.25" customHeight="1">
      <c r="T717" s="63"/>
    </row>
    <row r="718" ht="14.25" customHeight="1">
      <c r="T718" s="63"/>
    </row>
    <row r="719" ht="14.25" customHeight="1">
      <c r="T719" s="63"/>
    </row>
    <row r="720" ht="14.25" customHeight="1">
      <c r="T720" s="63"/>
    </row>
    <row r="721" ht="14.25" customHeight="1">
      <c r="T721" s="63"/>
    </row>
    <row r="722" ht="14.25" customHeight="1">
      <c r="T722" s="63"/>
    </row>
    <row r="723" ht="14.25" customHeight="1">
      <c r="T723" s="63"/>
    </row>
    <row r="724" ht="14.25" customHeight="1">
      <c r="T724" s="63"/>
    </row>
    <row r="725" ht="14.25" customHeight="1">
      <c r="T725" s="63"/>
    </row>
    <row r="726" ht="14.25" customHeight="1">
      <c r="T726" s="63"/>
    </row>
    <row r="727" ht="14.25" customHeight="1">
      <c r="T727" s="63"/>
    </row>
    <row r="728" ht="14.25" customHeight="1">
      <c r="T728" s="63"/>
    </row>
    <row r="729" ht="14.25" customHeight="1">
      <c r="T729" s="63"/>
    </row>
    <row r="730" ht="14.25" customHeight="1">
      <c r="T730" s="63"/>
    </row>
    <row r="731" ht="14.25" customHeight="1">
      <c r="T731" s="63"/>
    </row>
    <row r="732" ht="14.25" customHeight="1">
      <c r="T732" s="63"/>
    </row>
    <row r="733" ht="14.25" customHeight="1">
      <c r="T733" s="63"/>
    </row>
    <row r="734" ht="14.25" customHeight="1">
      <c r="T734" s="63"/>
    </row>
    <row r="735" ht="14.25" customHeight="1">
      <c r="T735" s="63"/>
    </row>
    <row r="736" ht="14.25" customHeight="1">
      <c r="T736" s="63"/>
    </row>
    <row r="737" ht="14.25" customHeight="1">
      <c r="T737" s="63"/>
    </row>
    <row r="738" ht="14.25" customHeight="1">
      <c r="T738" s="63"/>
    </row>
    <row r="739" ht="14.25" customHeight="1">
      <c r="T739" s="63"/>
    </row>
    <row r="740" ht="14.25" customHeight="1">
      <c r="T740" s="63"/>
    </row>
    <row r="741" ht="14.25" customHeight="1">
      <c r="T741" s="63"/>
    </row>
    <row r="742" ht="14.25" customHeight="1">
      <c r="T742" s="63"/>
    </row>
    <row r="743" ht="14.25" customHeight="1">
      <c r="T743" s="63"/>
    </row>
    <row r="744" ht="14.25" customHeight="1">
      <c r="T744" s="63"/>
    </row>
    <row r="745" ht="14.25" customHeight="1">
      <c r="T745" s="63"/>
    </row>
    <row r="746" ht="14.25" customHeight="1">
      <c r="T746" s="63"/>
    </row>
    <row r="747" ht="14.25" customHeight="1">
      <c r="T747" s="63"/>
    </row>
    <row r="748" ht="14.25" customHeight="1">
      <c r="T748" s="63"/>
    </row>
    <row r="749" ht="14.25" customHeight="1">
      <c r="T749" s="63"/>
    </row>
    <row r="750" ht="14.25" customHeight="1">
      <c r="T750" s="63"/>
    </row>
    <row r="751" ht="14.25" customHeight="1">
      <c r="T751" s="63"/>
    </row>
    <row r="752" ht="14.25" customHeight="1">
      <c r="T752" s="63"/>
    </row>
    <row r="753" ht="14.25" customHeight="1">
      <c r="T753" s="63"/>
    </row>
    <row r="754" ht="14.25" customHeight="1">
      <c r="T754" s="63"/>
    </row>
    <row r="755" ht="14.25" customHeight="1">
      <c r="T755" s="63"/>
    </row>
    <row r="756" ht="14.25" customHeight="1">
      <c r="T756" s="63"/>
    </row>
    <row r="757" ht="14.25" customHeight="1">
      <c r="T757" s="63"/>
    </row>
    <row r="758" ht="14.25" customHeight="1">
      <c r="T758" s="63"/>
    </row>
    <row r="759" ht="14.25" customHeight="1">
      <c r="T759" s="63"/>
    </row>
    <row r="760" ht="14.25" customHeight="1">
      <c r="T760" s="63"/>
    </row>
    <row r="761" ht="14.25" customHeight="1">
      <c r="T761" s="63"/>
    </row>
    <row r="762" ht="14.25" customHeight="1">
      <c r="T762" s="63"/>
    </row>
    <row r="763" ht="14.25" customHeight="1">
      <c r="T763" s="63"/>
    </row>
    <row r="764" ht="14.25" customHeight="1">
      <c r="T764" s="63"/>
    </row>
    <row r="765" ht="14.25" customHeight="1">
      <c r="T765" s="63"/>
    </row>
    <row r="766" ht="14.25" customHeight="1">
      <c r="T766" s="63"/>
    </row>
    <row r="767" ht="14.25" customHeight="1">
      <c r="T767" s="63"/>
    </row>
    <row r="768" ht="14.25" customHeight="1">
      <c r="T768" s="63"/>
    </row>
    <row r="769" ht="14.25" customHeight="1">
      <c r="T769" s="63"/>
    </row>
    <row r="770" ht="14.25" customHeight="1">
      <c r="T770" s="63"/>
    </row>
    <row r="771" ht="14.25" customHeight="1">
      <c r="T771" s="63"/>
    </row>
    <row r="772" ht="14.25" customHeight="1">
      <c r="T772" s="63"/>
    </row>
    <row r="773" ht="14.25" customHeight="1">
      <c r="T773" s="63"/>
    </row>
    <row r="774" ht="14.25" customHeight="1">
      <c r="T774" s="63"/>
    </row>
    <row r="775" ht="14.25" customHeight="1">
      <c r="T775" s="63"/>
    </row>
    <row r="776" ht="14.25" customHeight="1">
      <c r="T776" s="63"/>
    </row>
    <row r="777" ht="14.25" customHeight="1">
      <c r="T777" s="63"/>
    </row>
    <row r="778" ht="14.25" customHeight="1">
      <c r="T778" s="63"/>
    </row>
    <row r="779" ht="14.25" customHeight="1">
      <c r="T779" s="63"/>
    </row>
    <row r="780" ht="14.25" customHeight="1">
      <c r="T780" s="63"/>
    </row>
    <row r="781" ht="14.25" customHeight="1">
      <c r="T781" s="63"/>
    </row>
    <row r="782" ht="14.25" customHeight="1">
      <c r="T782" s="63"/>
    </row>
    <row r="783" ht="14.25" customHeight="1">
      <c r="T783" s="63"/>
    </row>
    <row r="784" ht="14.25" customHeight="1">
      <c r="T784" s="63"/>
    </row>
    <row r="785" ht="14.25" customHeight="1">
      <c r="T785" s="63"/>
    </row>
    <row r="786" ht="14.25" customHeight="1">
      <c r="T786" s="63"/>
    </row>
    <row r="787" ht="14.25" customHeight="1">
      <c r="T787" s="63"/>
    </row>
    <row r="788" ht="14.25" customHeight="1">
      <c r="T788" s="63"/>
    </row>
    <row r="789" ht="14.25" customHeight="1">
      <c r="T789" s="63"/>
    </row>
    <row r="790" ht="14.25" customHeight="1">
      <c r="T790" s="63"/>
    </row>
    <row r="791" ht="14.25" customHeight="1">
      <c r="T791" s="63"/>
    </row>
    <row r="792" ht="14.25" customHeight="1">
      <c r="T792" s="63"/>
    </row>
    <row r="793" ht="14.25" customHeight="1">
      <c r="T793" s="63"/>
    </row>
    <row r="794" ht="14.25" customHeight="1">
      <c r="T794" s="63"/>
    </row>
    <row r="795" ht="14.25" customHeight="1">
      <c r="T795" s="63"/>
    </row>
    <row r="796" ht="14.25" customHeight="1">
      <c r="T796" s="63"/>
    </row>
    <row r="797" ht="14.25" customHeight="1">
      <c r="T797" s="63"/>
    </row>
    <row r="798" ht="14.25" customHeight="1">
      <c r="T798" s="63"/>
    </row>
    <row r="799" ht="14.25" customHeight="1">
      <c r="T799" s="63"/>
    </row>
    <row r="800" ht="14.25" customHeight="1">
      <c r="T800" s="63"/>
    </row>
    <row r="801" ht="14.25" customHeight="1">
      <c r="T801" s="63"/>
    </row>
    <row r="802" ht="14.25" customHeight="1">
      <c r="T802" s="63"/>
    </row>
    <row r="803" ht="14.25" customHeight="1">
      <c r="T803" s="63"/>
    </row>
    <row r="804" ht="14.25" customHeight="1">
      <c r="T804" s="63"/>
    </row>
    <row r="805" ht="14.25" customHeight="1">
      <c r="T805" s="63"/>
    </row>
    <row r="806" ht="14.25" customHeight="1">
      <c r="T806" s="63"/>
    </row>
    <row r="807" ht="14.25" customHeight="1">
      <c r="T807" s="63"/>
    </row>
    <row r="808" ht="14.25" customHeight="1">
      <c r="T808" s="63"/>
    </row>
    <row r="809" ht="14.25" customHeight="1">
      <c r="T809" s="63"/>
    </row>
    <row r="810" ht="14.25" customHeight="1">
      <c r="T810" s="63"/>
    </row>
    <row r="811" ht="14.25" customHeight="1">
      <c r="T811" s="63"/>
    </row>
    <row r="812" ht="14.25" customHeight="1">
      <c r="T812" s="63"/>
    </row>
    <row r="813" ht="14.25" customHeight="1">
      <c r="T813" s="63"/>
    </row>
    <row r="814" ht="14.25" customHeight="1">
      <c r="T814" s="63"/>
    </row>
    <row r="815" ht="14.25" customHeight="1">
      <c r="T815" s="63"/>
    </row>
    <row r="816" ht="14.25" customHeight="1">
      <c r="T816" s="63"/>
    </row>
    <row r="817" ht="14.25" customHeight="1">
      <c r="T817" s="63"/>
    </row>
    <row r="818" ht="14.25" customHeight="1">
      <c r="T818" s="63"/>
    </row>
    <row r="819" ht="14.25" customHeight="1">
      <c r="T819" s="63"/>
    </row>
    <row r="820" ht="14.25" customHeight="1">
      <c r="T820" s="63"/>
    </row>
    <row r="821" ht="14.25" customHeight="1">
      <c r="T821" s="63"/>
    </row>
    <row r="822" ht="14.25" customHeight="1">
      <c r="T822" s="63"/>
    </row>
    <row r="823" ht="14.25" customHeight="1">
      <c r="T823" s="63"/>
    </row>
    <row r="824" ht="14.25" customHeight="1">
      <c r="T824" s="63"/>
    </row>
    <row r="825" ht="14.25" customHeight="1">
      <c r="T825" s="63"/>
    </row>
    <row r="826" ht="14.25" customHeight="1">
      <c r="T826" s="63"/>
    </row>
    <row r="827" ht="14.25" customHeight="1">
      <c r="T827" s="63"/>
    </row>
    <row r="828" ht="14.25" customHeight="1">
      <c r="T828" s="63"/>
    </row>
    <row r="829" ht="14.25" customHeight="1">
      <c r="T829" s="63"/>
    </row>
    <row r="830" ht="14.25" customHeight="1">
      <c r="T830" s="63"/>
    </row>
    <row r="831" ht="14.25" customHeight="1">
      <c r="T831" s="63"/>
    </row>
    <row r="832" ht="14.25" customHeight="1">
      <c r="T832" s="63"/>
    </row>
    <row r="833" ht="14.25" customHeight="1">
      <c r="T833" s="63"/>
    </row>
    <row r="834" ht="14.25" customHeight="1">
      <c r="T834" s="63"/>
    </row>
    <row r="835" ht="14.25" customHeight="1">
      <c r="T835" s="63"/>
    </row>
    <row r="836" ht="14.25" customHeight="1">
      <c r="T836" s="63"/>
    </row>
    <row r="837" ht="14.25" customHeight="1">
      <c r="T837" s="63"/>
    </row>
    <row r="838" ht="14.25" customHeight="1">
      <c r="T838" s="63"/>
    </row>
    <row r="839" ht="14.25" customHeight="1">
      <c r="T839" s="63"/>
    </row>
    <row r="840" ht="14.25" customHeight="1">
      <c r="T840" s="63"/>
    </row>
    <row r="841" ht="14.25" customHeight="1">
      <c r="T841" s="63"/>
    </row>
    <row r="842" ht="14.25" customHeight="1">
      <c r="T842" s="63"/>
    </row>
    <row r="843" ht="14.25" customHeight="1">
      <c r="T843" s="63"/>
    </row>
    <row r="844" ht="14.25" customHeight="1">
      <c r="T844" s="63"/>
    </row>
    <row r="845" ht="14.25" customHeight="1">
      <c r="T845" s="63"/>
    </row>
    <row r="846" ht="14.25" customHeight="1">
      <c r="T846" s="63"/>
    </row>
    <row r="847" ht="14.25" customHeight="1">
      <c r="T847" s="63"/>
    </row>
    <row r="848" ht="14.25" customHeight="1">
      <c r="T848" s="63"/>
    </row>
    <row r="849" ht="14.25" customHeight="1">
      <c r="T849" s="63"/>
    </row>
    <row r="850" ht="14.25" customHeight="1">
      <c r="T850" s="63"/>
    </row>
    <row r="851" ht="14.25" customHeight="1">
      <c r="T851" s="63"/>
    </row>
    <row r="852" ht="14.25" customHeight="1">
      <c r="T852" s="63"/>
    </row>
    <row r="853" ht="14.25" customHeight="1">
      <c r="T853" s="63"/>
    </row>
    <row r="854" ht="14.25" customHeight="1">
      <c r="T854" s="63"/>
    </row>
    <row r="855" ht="14.25" customHeight="1">
      <c r="T855" s="63"/>
    </row>
    <row r="856" ht="14.25" customHeight="1">
      <c r="T856" s="63"/>
    </row>
    <row r="857" ht="14.25" customHeight="1">
      <c r="T857" s="63"/>
    </row>
    <row r="858" ht="14.25" customHeight="1">
      <c r="T858" s="63"/>
    </row>
    <row r="859" ht="14.25" customHeight="1">
      <c r="T859" s="63"/>
    </row>
    <row r="860" ht="14.25" customHeight="1">
      <c r="T860" s="63"/>
    </row>
    <row r="861" ht="14.25" customHeight="1">
      <c r="T861" s="63"/>
    </row>
    <row r="862" ht="14.25" customHeight="1">
      <c r="T862" s="63"/>
    </row>
    <row r="863" ht="14.25" customHeight="1">
      <c r="T863" s="63"/>
    </row>
    <row r="864" ht="14.25" customHeight="1">
      <c r="T864" s="63"/>
    </row>
    <row r="865" ht="14.25" customHeight="1">
      <c r="T865" s="63"/>
    </row>
    <row r="866" ht="14.25" customHeight="1">
      <c r="T866" s="63"/>
    </row>
    <row r="867" ht="14.25" customHeight="1">
      <c r="T867" s="63"/>
    </row>
    <row r="868" ht="14.25" customHeight="1">
      <c r="T868" s="63"/>
    </row>
    <row r="869" ht="14.25" customHeight="1">
      <c r="T869" s="63"/>
    </row>
    <row r="870" ht="14.25" customHeight="1">
      <c r="T870" s="63"/>
    </row>
    <row r="871" ht="14.25" customHeight="1">
      <c r="T871" s="63"/>
    </row>
    <row r="872" ht="14.25" customHeight="1">
      <c r="T872" s="63"/>
    </row>
    <row r="873" ht="14.25" customHeight="1">
      <c r="T873" s="63"/>
    </row>
    <row r="874" ht="14.25" customHeight="1">
      <c r="T874" s="63"/>
    </row>
    <row r="875" ht="14.25" customHeight="1">
      <c r="T875" s="63"/>
    </row>
    <row r="876" ht="14.25" customHeight="1">
      <c r="T876" s="63"/>
    </row>
    <row r="877" ht="14.25" customHeight="1">
      <c r="T877" s="63"/>
    </row>
    <row r="878" ht="14.25" customHeight="1">
      <c r="T878" s="63"/>
    </row>
    <row r="879" ht="14.25" customHeight="1">
      <c r="T879" s="63"/>
    </row>
    <row r="880" ht="14.25" customHeight="1">
      <c r="T880" s="63"/>
    </row>
    <row r="881" ht="14.25" customHeight="1">
      <c r="T881" s="63"/>
    </row>
    <row r="882" ht="14.25" customHeight="1">
      <c r="T882" s="63"/>
    </row>
    <row r="883" ht="14.25" customHeight="1">
      <c r="T883" s="63"/>
    </row>
    <row r="884" ht="14.25" customHeight="1">
      <c r="T884" s="63"/>
    </row>
    <row r="885" ht="14.25" customHeight="1">
      <c r="T885" s="63"/>
    </row>
    <row r="886" ht="14.25" customHeight="1">
      <c r="T886" s="63"/>
    </row>
    <row r="887" ht="14.25" customHeight="1">
      <c r="T887" s="63"/>
    </row>
    <row r="888" ht="14.25" customHeight="1">
      <c r="T888" s="63"/>
    </row>
    <row r="889" ht="14.25" customHeight="1">
      <c r="T889" s="63"/>
    </row>
    <row r="890" ht="14.25" customHeight="1">
      <c r="T890" s="63"/>
    </row>
    <row r="891" ht="14.25" customHeight="1">
      <c r="T891" s="63"/>
    </row>
    <row r="892" ht="14.25" customHeight="1">
      <c r="T892" s="63"/>
    </row>
    <row r="893" ht="14.25" customHeight="1">
      <c r="T893" s="63"/>
    </row>
    <row r="894" ht="14.25" customHeight="1">
      <c r="T894" s="63"/>
    </row>
    <row r="895" ht="14.25" customHeight="1">
      <c r="T895" s="63"/>
    </row>
    <row r="896" ht="14.25" customHeight="1">
      <c r="T896" s="63"/>
    </row>
    <row r="897" ht="14.25" customHeight="1">
      <c r="T897" s="63"/>
    </row>
    <row r="898" ht="14.25" customHeight="1">
      <c r="T898" s="63"/>
    </row>
    <row r="899" ht="14.25" customHeight="1">
      <c r="T899" s="63"/>
    </row>
    <row r="900" ht="14.25" customHeight="1">
      <c r="T900" s="63"/>
    </row>
    <row r="901" ht="14.25" customHeight="1">
      <c r="T901" s="63"/>
    </row>
    <row r="902" ht="14.25" customHeight="1">
      <c r="T902" s="63"/>
    </row>
    <row r="903" ht="14.25" customHeight="1">
      <c r="T903" s="63"/>
    </row>
    <row r="904" ht="14.25" customHeight="1">
      <c r="T904" s="63"/>
    </row>
    <row r="905" ht="14.25" customHeight="1">
      <c r="T905" s="63"/>
    </row>
    <row r="906" ht="14.25" customHeight="1">
      <c r="T906" s="63"/>
    </row>
    <row r="907" ht="14.25" customHeight="1">
      <c r="T907" s="63"/>
    </row>
    <row r="908" ht="14.25" customHeight="1">
      <c r="T908" s="63"/>
    </row>
    <row r="909" ht="14.25" customHeight="1">
      <c r="T909" s="63"/>
    </row>
    <row r="910" ht="14.25" customHeight="1">
      <c r="T910" s="63"/>
    </row>
    <row r="911" ht="14.25" customHeight="1">
      <c r="T911" s="63"/>
    </row>
    <row r="912" ht="14.25" customHeight="1">
      <c r="T912" s="63"/>
    </row>
    <row r="913" ht="14.25" customHeight="1">
      <c r="T913" s="63"/>
    </row>
    <row r="914" ht="14.25" customHeight="1">
      <c r="T914" s="63"/>
    </row>
    <row r="915" ht="14.25" customHeight="1">
      <c r="T915" s="63"/>
    </row>
    <row r="916" ht="14.25" customHeight="1">
      <c r="T916" s="63"/>
    </row>
    <row r="917" ht="14.25" customHeight="1">
      <c r="T917" s="63"/>
    </row>
    <row r="918" ht="14.25" customHeight="1">
      <c r="T918" s="63"/>
    </row>
    <row r="919" ht="14.25" customHeight="1">
      <c r="T919" s="63"/>
    </row>
    <row r="920" ht="14.25" customHeight="1">
      <c r="T920" s="63"/>
    </row>
    <row r="921" ht="14.25" customHeight="1">
      <c r="T921" s="63"/>
    </row>
    <row r="922" ht="14.25" customHeight="1">
      <c r="T922" s="63"/>
    </row>
    <row r="923" ht="14.25" customHeight="1">
      <c r="T923" s="63"/>
    </row>
    <row r="924" ht="14.25" customHeight="1">
      <c r="T924" s="63"/>
    </row>
    <row r="925" ht="14.25" customHeight="1">
      <c r="T925" s="63"/>
    </row>
    <row r="926" ht="14.25" customHeight="1">
      <c r="T926" s="63"/>
    </row>
    <row r="927" ht="14.25" customHeight="1">
      <c r="T927" s="63"/>
    </row>
    <row r="928" ht="14.25" customHeight="1">
      <c r="T928" s="63"/>
    </row>
    <row r="929" ht="14.25" customHeight="1">
      <c r="T929" s="63"/>
    </row>
    <row r="930" ht="14.25" customHeight="1">
      <c r="T930" s="63"/>
    </row>
    <row r="931" ht="14.25" customHeight="1">
      <c r="T931" s="63"/>
    </row>
    <row r="932" ht="14.25" customHeight="1">
      <c r="T932" s="63"/>
    </row>
    <row r="933" ht="14.25" customHeight="1">
      <c r="T933" s="63"/>
    </row>
    <row r="934" ht="14.25" customHeight="1">
      <c r="T934" s="63"/>
    </row>
    <row r="935" ht="14.25" customHeight="1">
      <c r="T935" s="63"/>
    </row>
    <row r="936" ht="14.25" customHeight="1">
      <c r="T936" s="63"/>
    </row>
    <row r="937" ht="14.25" customHeight="1">
      <c r="T937" s="63"/>
    </row>
    <row r="938" ht="14.25" customHeight="1">
      <c r="T938" s="63"/>
    </row>
    <row r="939" ht="14.25" customHeight="1">
      <c r="T939" s="63"/>
    </row>
    <row r="940" ht="14.25" customHeight="1">
      <c r="T940" s="63"/>
    </row>
    <row r="941" ht="14.25" customHeight="1">
      <c r="T941" s="63"/>
    </row>
    <row r="942" ht="14.25" customHeight="1">
      <c r="T942" s="63"/>
    </row>
    <row r="943" ht="14.25" customHeight="1">
      <c r="T943" s="63"/>
    </row>
    <row r="944" ht="14.25" customHeight="1">
      <c r="T944" s="63"/>
    </row>
    <row r="945" ht="14.25" customHeight="1">
      <c r="T945" s="63"/>
    </row>
    <row r="946" ht="14.25" customHeight="1">
      <c r="T946" s="63"/>
    </row>
    <row r="947" ht="14.25" customHeight="1">
      <c r="T947" s="63"/>
    </row>
    <row r="948" ht="14.25" customHeight="1">
      <c r="T948" s="63"/>
    </row>
    <row r="949" ht="14.25" customHeight="1">
      <c r="T949" s="63"/>
    </row>
    <row r="950" ht="14.25" customHeight="1">
      <c r="T950" s="63"/>
    </row>
    <row r="951" ht="14.25" customHeight="1">
      <c r="T951" s="63"/>
    </row>
    <row r="952" ht="14.25" customHeight="1">
      <c r="T952" s="63"/>
    </row>
    <row r="953" ht="14.25" customHeight="1">
      <c r="T953" s="63"/>
    </row>
    <row r="954" ht="14.25" customHeight="1">
      <c r="T954" s="63"/>
    </row>
    <row r="955" ht="14.25" customHeight="1">
      <c r="T955" s="63"/>
    </row>
    <row r="956" ht="14.25" customHeight="1">
      <c r="T956" s="63"/>
    </row>
    <row r="957" ht="14.25" customHeight="1">
      <c r="T957" s="63"/>
    </row>
    <row r="958" ht="14.25" customHeight="1">
      <c r="T958" s="63"/>
    </row>
    <row r="959" ht="14.25" customHeight="1">
      <c r="T959" s="63"/>
    </row>
    <row r="960" ht="14.25" customHeight="1">
      <c r="T960" s="63"/>
    </row>
    <row r="961" ht="14.25" customHeight="1">
      <c r="T961" s="63"/>
    </row>
    <row r="962" ht="14.25" customHeight="1">
      <c r="T962" s="63"/>
    </row>
    <row r="963" ht="14.25" customHeight="1">
      <c r="T963" s="63"/>
    </row>
    <row r="964" ht="14.25" customHeight="1">
      <c r="T964" s="63"/>
    </row>
    <row r="965" ht="14.25" customHeight="1">
      <c r="T965" s="63"/>
    </row>
    <row r="966" ht="14.25" customHeight="1">
      <c r="T966" s="63"/>
    </row>
    <row r="967" ht="14.25" customHeight="1">
      <c r="T967" s="63"/>
    </row>
    <row r="968" ht="14.25" customHeight="1">
      <c r="T968" s="63"/>
    </row>
    <row r="969" ht="14.25" customHeight="1">
      <c r="T969" s="63"/>
    </row>
    <row r="970" ht="14.25" customHeight="1">
      <c r="T970" s="63"/>
    </row>
    <row r="971" ht="14.25" customHeight="1">
      <c r="T971" s="63"/>
    </row>
    <row r="972" ht="14.25" customHeight="1">
      <c r="T972" s="63"/>
    </row>
    <row r="973" ht="14.25" customHeight="1">
      <c r="T973" s="63"/>
    </row>
    <row r="974" ht="14.25" customHeight="1">
      <c r="T974" s="63"/>
    </row>
    <row r="975" ht="14.25" customHeight="1">
      <c r="T975" s="63"/>
    </row>
    <row r="976" ht="14.25" customHeight="1">
      <c r="T976" s="63"/>
    </row>
    <row r="977" ht="14.25" customHeight="1">
      <c r="T977" s="63"/>
    </row>
    <row r="978" ht="14.25" customHeight="1">
      <c r="T978" s="63"/>
    </row>
    <row r="979" ht="14.25" customHeight="1">
      <c r="T979" s="63"/>
    </row>
    <row r="980" ht="14.25" customHeight="1">
      <c r="T980" s="63"/>
    </row>
    <row r="981" ht="14.25" customHeight="1">
      <c r="T981" s="63"/>
    </row>
    <row r="982" ht="14.25" customHeight="1">
      <c r="T982" s="63"/>
    </row>
    <row r="983" ht="14.25" customHeight="1">
      <c r="T983" s="63"/>
    </row>
    <row r="984" ht="14.25" customHeight="1">
      <c r="T984" s="63"/>
    </row>
    <row r="985" ht="14.25" customHeight="1">
      <c r="T985" s="63"/>
    </row>
    <row r="986" ht="14.25" customHeight="1">
      <c r="T986" s="63"/>
    </row>
    <row r="987" ht="14.25" customHeight="1">
      <c r="T987" s="63"/>
    </row>
    <row r="988" ht="14.25" customHeight="1">
      <c r="T988" s="63"/>
    </row>
    <row r="989" ht="14.25" customHeight="1">
      <c r="T989" s="63"/>
    </row>
    <row r="990" ht="14.25" customHeight="1">
      <c r="T990" s="63"/>
    </row>
    <row r="991" ht="14.25" customHeight="1">
      <c r="T991" s="63"/>
    </row>
    <row r="992" ht="14.25" customHeight="1">
      <c r="T992" s="63"/>
    </row>
    <row r="993" ht="14.25" customHeight="1">
      <c r="T993" s="63"/>
    </row>
    <row r="994" ht="14.25" customHeight="1">
      <c r="T994" s="63"/>
    </row>
    <row r="995" ht="14.25" customHeight="1">
      <c r="T995" s="63"/>
    </row>
    <row r="996" ht="14.25" customHeight="1">
      <c r="T996" s="63"/>
    </row>
    <row r="997" ht="14.25" customHeight="1">
      <c r="T997" s="63"/>
    </row>
    <row r="998" ht="14.25" customHeight="1">
      <c r="T998" s="63"/>
    </row>
    <row r="999" ht="14.25" customHeight="1">
      <c r="T999" s="63"/>
    </row>
    <row r="1000" ht="14.25" customHeight="1">
      <c r="T1000" s="63"/>
    </row>
  </sheetData>
  <mergeCells count="10">
    <mergeCell ref="B44:S44"/>
    <mergeCell ref="B45:J45"/>
    <mergeCell ref="K53:L53"/>
    <mergeCell ref="E1:P1"/>
    <mergeCell ref="B2:S2"/>
    <mergeCell ref="B3:J3"/>
    <mergeCell ref="K3:S3"/>
    <mergeCell ref="B32:S32"/>
    <mergeCell ref="B33:J33"/>
    <mergeCell ref="K33:S33"/>
  </mergeCells>
  <conditionalFormatting sqref="B5:T29">
    <cfRule type="cellIs" dxfId="0" priority="1" operator="lessThan">
      <formula>3</formula>
    </cfRule>
  </conditionalFormatting>
  <conditionalFormatting sqref="B35:T41">
    <cfRule type="cellIs" dxfId="0" priority="2" operator="lessThan">
      <formula>3</formula>
    </cfRule>
  </conditionalFormatting>
  <conditionalFormatting sqref="B47:K52">
    <cfRule type="cellIs" dxfId="0" priority="3" operator="lessThan">
      <formula>3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10" width="12.57"/>
    <col customWidth="1" min="11" max="11" width="18.0"/>
    <col customWidth="1" min="12" max="12" width="10.71"/>
    <col customWidth="1" min="13" max="13" width="12.43"/>
    <col customWidth="1" min="14" max="22" width="10.71"/>
    <col customWidth="1" min="23" max="23" width="15.0"/>
    <col customWidth="1" min="24" max="28" width="10.71"/>
    <col customWidth="1" min="29" max="29" width="13.0"/>
    <col customWidth="1" min="30" max="35" width="10.71"/>
    <col customWidth="1" min="36" max="36" width="14.71"/>
    <col customWidth="1" min="37" max="50" width="10.71"/>
  </cols>
  <sheetData>
    <row r="1" ht="41.25" customHeight="1">
      <c r="A1" s="64" t="s">
        <v>38</v>
      </c>
      <c r="B1" s="1"/>
      <c r="C1" s="1"/>
      <c r="D1" s="1"/>
      <c r="E1" s="65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1"/>
      <c r="S1" s="1"/>
      <c r="T1" s="6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ht="41.25" customHeight="1">
      <c r="A2" s="67" t="s">
        <v>44</v>
      </c>
      <c r="B2" s="68"/>
      <c r="C2" s="68"/>
      <c r="D2" s="68"/>
      <c r="E2" s="68"/>
      <c r="F2" s="68"/>
      <c r="G2" s="68"/>
      <c r="H2" s="68"/>
      <c r="I2" s="68"/>
      <c r="J2" s="69"/>
      <c r="K2" s="70"/>
      <c r="L2" s="6"/>
      <c r="M2" s="67" t="s">
        <v>45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9"/>
      <c r="Y2" s="6"/>
      <c r="Z2" s="71" t="s">
        <v>46</v>
      </c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ht="19.5" customHeight="1">
      <c r="A3" s="73" t="s">
        <v>47</v>
      </c>
      <c r="B3" s="74"/>
      <c r="C3" s="74"/>
      <c r="D3" s="74"/>
      <c r="E3" s="74"/>
      <c r="F3" s="74"/>
      <c r="G3" s="74"/>
      <c r="H3" s="74"/>
      <c r="I3" s="74"/>
      <c r="J3" s="74"/>
      <c r="K3" s="75"/>
      <c r="M3" s="76" t="s">
        <v>48</v>
      </c>
      <c r="N3" s="50"/>
      <c r="O3" s="50"/>
      <c r="P3" s="50"/>
      <c r="Q3" s="50"/>
      <c r="R3" s="50"/>
      <c r="S3" s="50"/>
      <c r="T3" s="50"/>
      <c r="U3" s="50"/>
      <c r="V3" s="50"/>
      <c r="W3" s="77"/>
      <c r="X3" s="78" t="s">
        <v>49</v>
      </c>
      <c r="Y3" s="79"/>
      <c r="Z3" s="76" t="s">
        <v>50</v>
      </c>
      <c r="AA3" s="50"/>
      <c r="AB3" s="50"/>
      <c r="AC3" s="50"/>
      <c r="AD3" s="50"/>
      <c r="AE3" s="50"/>
      <c r="AF3" s="50"/>
      <c r="AG3" s="50"/>
      <c r="AH3" s="50"/>
      <c r="AI3" s="50"/>
      <c r="AJ3" s="77"/>
      <c r="AK3" s="80" t="s">
        <v>49</v>
      </c>
    </row>
    <row r="4" ht="19.5" customHeight="1">
      <c r="A4" s="81"/>
      <c r="B4" s="82" t="s">
        <v>1</v>
      </c>
      <c r="C4" s="50"/>
      <c r="D4" s="50"/>
      <c r="E4" s="50"/>
      <c r="F4" s="50"/>
      <c r="G4" s="50"/>
      <c r="H4" s="50"/>
      <c r="I4" s="50"/>
      <c r="J4" s="77"/>
      <c r="K4" s="83"/>
      <c r="M4" s="84"/>
      <c r="N4" s="82" t="s">
        <v>1</v>
      </c>
      <c r="O4" s="50"/>
      <c r="P4" s="50"/>
      <c r="Q4" s="50"/>
      <c r="R4" s="50"/>
      <c r="S4" s="50"/>
      <c r="T4" s="50"/>
      <c r="U4" s="50"/>
      <c r="V4" s="51"/>
      <c r="W4" s="85"/>
      <c r="X4" s="86"/>
      <c r="Y4" s="79"/>
      <c r="Z4" s="84"/>
      <c r="AA4" s="82" t="s">
        <v>1</v>
      </c>
      <c r="AB4" s="50"/>
      <c r="AC4" s="50"/>
      <c r="AD4" s="50"/>
      <c r="AE4" s="50"/>
      <c r="AF4" s="50"/>
      <c r="AG4" s="50"/>
      <c r="AH4" s="50"/>
      <c r="AI4" s="51"/>
      <c r="AJ4" s="87"/>
      <c r="AK4" s="86"/>
    </row>
    <row r="5" ht="19.5" customHeight="1">
      <c r="A5" s="88" t="s">
        <v>51</v>
      </c>
      <c r="B5" s="89">
        <v>28.0</v>
      </c>
      <c r="C5" s="89">
        <v>30.0</v>
      </c>
      <c r="D5" s="89">
        <v>32.0</v>
      </c>
      <c r="E5" s="89">
        <v>34.0</v>
      </c>
      <c r="F5" s="89">
        <v>36.0</v>
      </c>
      <c r="G5" s="89">
        <v>38.0</v>
      </c>
      <c r="H5" s="89">
        <v>40.0</v>
      </c>
      <c r="I5" s="89"/>
      <c r="J5" s="90"/>
      <c r="K5" s="83"/>
      <c r="M5" s="84" t="s">
        <v>52</v>
      </c>
      <c r="N5" s="89">
        <v>28.0</v>
      </c>
      <c r="O5" s="89">
        <v>30.0</v>
      </c>
      <c r="P5" s="89">
        <v>32.0</v>
      </c>
      <c r="Q5" s="89">
        <v>34.0</v>
      </c>
      <c r="R5" s="89">
        <v>36.0</v>
      </c>
      <c r="S5" s="89">
        <v>38.0</v>
      </c>
      <c r="T5" s="89">
        <v>40.0</v>
      </c>
      <c r="U5" s="89"/>
      <c r="V5" s="89"/>
      <c r="W5" s="90"/>
      <c r="X5" s="86"/>
      <c r="Y5" s="79"/>
      <c r="Z5" s="84" t="s">
        <v>52</v>
      </c>
      <c r="AA5" s="89">
        <v>28.0</v>
      </c>
      <c r="AB5" s="89">
        <v>30.0</v>
      </c>
      <c r="AC5" s="89">
        <v>32.0</v>
      </c>
      <c r="AD5" s="89">
        <v>34.0</v>
      </c>
      <c r="AE5" s="89">
        <v>36.0</v>
      </c>
      <c r="AF5" s="89">
        <v>38.0</v>
      </c>
      <c r="AG5" s="89">
        <v>40.0</v>
      </c>
      <c r="AH5" s="89"/>
      <c r="AI5" s="89"/>
      <c r="AJ5" s="87"/>
      <c r="AK5" s="86"/>
    </row>
    <row r="6" ht="19.5" customHeight="1">
      <c r="A6" s="91"/>
      <c r="B6" s="92" t="s">
        <v>4</v>
      </c>
      <c r="C6" s="92" t="s">
        <v>53</v>
      </c>
      <c r="D6" s="92" t="s">
        <v>54</v>
      </c>
      <c r="E6" s="92" t="s">
        <v>55</v>
      </c>
      <c r="F6" s="92" t="s">
        <v>56</v>
      </c>
      <c r="G6" s="92" t="s">
        <v>9</v>
      </c>
      <c r="H6" s="92" t="s">
        <v>10</v>
      </c>
      <c r="I6" s="92" t="s">
        <v>11</v>
      </c>
      <c r="J6" s="93" t="s">
        <v>12</v>
      </c>
      <c r="K6" s="94" t="s">
        <v>49</v>
      </c>
      <c r="L6" s="95" t="s">
        <v>38</v>
      </c>
      <c r="M6" s="96"/>
      <c r="N6" s="92" t="s">
        <v>4</v>
      </c>
      <c r="O6" s="92" t="s">
        <v>53</v>
      </c>
      <c r="P6" s="92" t="s">
        <v>54</v>
      </c>
      <c r="Q6" s="92" t="s">
        <v>55</v>
      </c>
      <c r="R6" s="92" t="s">
        <v>56</v>
      </c>
      <c r="S6" s="92" t="s">
        <v>9</v>
      </c>
      <c r="T6" s="92" t="s">
        <v>10</v>
      </c>
      <c r="U6" s="92" t="s">
        <v>11</v>
      </c>
      <c r="V6" s="92" t="s">
        <v>12</v>
      </c>
      <c r="W6" s="97" t="s">
        <v>49</v>
      </c>
      <c r="X6" s="86"/>
      <c r="Y6" s="98"/>
      <c r="Z6" s="96"/>
      <c r="AA6" s="92" t="s">
        <v>4</v>
      </c>
      <c r="AB6" s="92" t="s">
        <v>53</v>
      </c>
      <c r="AC6" s="92" t="s">
        <v>54</v>
      </c>
      <c r="AD6" s="92" t="s">
        <v>55</v>
      </c>
      <c r="AE6" s="92" t="s">
        <v>56</v>
      </c>
      <c r="AF6" s="92" t="s">
        <v>9</v>
      </c>
      <c r="AG6" s="92" t="s">
        <v>10</v>
      </c>
      <c r="AH6" s="92" t="s">
        <v>11</v>
      </c>
      <c r="AI6" s="92" t="s">
        <v>12</v>
      </c>
      <c r="AJ6" s="97" t="s">
        <v>49</v>
      </c>
      <c r="AK6" s="86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</row>
    <row r="7" ht="19.5" customHeight="1">
      <c r="A7" s="84" t="s">
        <v>57</v>
      </c>
      <c r="B7" s="89">
        <f>0+5-1+1+1+1</f>
        <v>7</v>
      </c>
      <c r="C7" s="89">
        <f>0+1</f>
        <v>1</v>
      </c>
      <c r="D7" s="89">
        <f>4-1-1-1+1+1+1-1+1-1+1-1+1+1-1+1+1+1</f>
        <v>7</v>
      </c>
      <c r="E7" s="89">
        <f>0+1</f>
        <v>1</v>
      </c>
      <c r="F7" s="89">
        <f>1+1+1+1-1-1+1+1-1-1+1</f>
        <v>3</v>
      </c>
      <c r="G7" s="89">
        <f>2-1+1+1+1+1</f>
        <v>5</v>
      </c>
      <c r="H7" s="100">
        <f>1-1+1+1</f>
        <v>2</v>
      </c>
      <c r="I7" s="89">
        <f t="shared" ref="I7:J7" si="1">0+1</f>
        <v>1</v>
      </c>
      <c r="J7" s="89">
        <f t="shared" si="1"/>
        <v>1</v>
      </c>
      <c r="K7" s="101">
        <f t="shared" ref="K7:K11" si="4">SUM(B7:J7)</f>
        <v>28</v>
      </c>
      <c r="L7" s="102" t="s">
        <v>58</v>
      </c>
      <c r="M7" s="84" t="s">
        <v>59</v>
      </c>
      <c r="N7" s="89">
        <f>0+2+1-1+1</f>
        <v>3</v>
      </c>
      <c r="O7" s="100">
        <f>0+1+6-1+1+4-1+1-1-1+1-1</f>
        <v>9</v>
      </c>
      <c r="P7" s="89">
        <f>0+2+8-1+1+1-1+1-1+1+4-1+1-1-1+1-4</f>
        <v>10</v>
      </c>
      <c r="Q7" s="89">
        <f>0+2+8-1+1-1-1+1</f>
        <v>9</v>
      </c>
      <c r="R7" s="89">
        <f>0+1+4-1+1-1-1+1+3</f>
        <v>7</v>
      </c>
      <c r="S7" s="89">
        <f>0+2-1+1+2-1+1-1-1+1</f>
        <v>3</v>
      </c>
      <c r="T7" s="89">
        <f>0+1+2</f>
        <v>3</v>
      </c>
      <c r="U7" s="89">
        <f t="shared" ref="U7:V7" si="2">0+1+1+1</f>
        <v>3</v>
      </c>
      <c r="V7" s="89">
        <f t="shared" si="2"/>
        <v>3</v>
      </c>
      <c r="W7" s="103">
        <f t="shared" ref="W7:W8" si="5">SUM(N7:V7)</f>
        <v>50</v>
      </c>
      <c r="X7" s="86"/>
      <c r="Y7" s="104" t="s">
        <v>58</v>
      </c>
      <c r="Z7" s="84" t="s">
        <v>59</v>
      </c>
      <c r="AA7" s="105">
        <f>0+1+1+1+2+1-1+1-1+1</f>
        <v>6</v>
      </c>
      <c r="AB7" s="105">
        <f>0+2-1-1+1-1+1+3-1-1-1+1+1+1-1+2-1-1+1+1</f>
        <v>5</v>
      </c>
      <c r="AC7" s="105">
        <f>0+1-1+1+2-1+1+1-1+1+1-1-1+1-1-1+1+2-1-1+1+1+2-1+3-1+1</f>
        <v>9</v>
      </c>
      <c r="AD7" s="105">
        <f>0+3+1+2+1-1-2+1-1+1+1+1+3-1+1-1+1+1-1</f>
        <v>10</v>
      </c>
      <c r="AE7" s="105">
        <f>0+1+1+2+1-1-1+1+1-1+1-1+1+1</f>
        <v>6</v>
      </c>
      <c r="AF7" s="105">
        <f>0+1+2+1-1-1+1+1+1+1-1+1-2+2</f>
        <v>6</v>
      </c>
      <c r="AG7" s="105">
        <f>6+1</f>
        <v>7</v>
      </c>
      <c r="AH7" s="105">
        <f>0+2+1-1+1+1</f>
        <v>4</v>
      </c>
      <c r="AI7" s="105">
        <f>0+2+1-1+1+1</f>
        <v>4</v>
      </c>
      <c r="AJ7" s="89">
        <f t="shared" ref="AJ7:AJ8" si="7">SUM(AA7:AI7)</f>
        <v>57</v>
      </c>
      <c r="AK7" s="86"/>
    </row>
    <row r="8" ht="19.5" customHeight="1">
      <c r="A8" s="106" t="s">
        <v>13</v>
      </c>
      <c r="B8" s="89">
        <f>0+1-1+1-1+1-1</f>
        <v>0</v>
      </c>
      <c r="C8" s="89">
        <f>0+1-1+1+1-2</f>
        <v>0</v>
      </c>
      <c r="D8" s="89">
        <f>0+2-1+1-1-1+1</f>
        <v>1</v>
      </c>
      <c r="E8" s="89">
        <f>0+1-1+2-1+1-1-1+1+2-1-1+1-1-1+1-1+1+1+2-1-1+1-2+1+2-1+1+1</f>
        <v>5</v>
      </c>
      <c r="F8" s="89">
        <f>0+2-1+1-1+1+1-1+1+1-3-1+1</f>
        <v>1</v>
      </c>
      <c r="G8" s="89">
        <f t="shared" ref="G8:H8" si="3">0</f>
        <v>0</v>
      </c>
      <c r="H8" s="89">
        <f t="shared" si="3"/>
        <v>0</v>
      </c>
      <c r="I8" s="89">
        <f>0+1-1</f>
        <v>0</v>
      </c>
      <c r="J8" s="89">
        <f>0</f>
        <v>0</v>
      </c>
      <c r="K8" s="101">
        <f t="shared" si="4"/>
        <v>7</v>
      </c>
      <c r="L8" s="102" t="s">
        <v>58</v>
      </c>
      <c r="M8" s="84" t="s">
        <v>60</v>
      </c>
      <c r="N8" s="89">
        <f>0+1+2+1-1-1+1</f>
        <v>3</v>
      </c>
      <c r="O8" s="89">
        <f>0+2+6-1+1+1-1+1-1+1-1-2</f>
        <v>6</v>
      </c>
      <c r="P8" s="89">
        <f>0+1+8-1+1+1+1-1-1+1-1+1-1+1+1+1</f>
        <v>12</v>
      </c>
      <c r="Q8" s="89">
        <f>0+2+9+1-1+1-4+1+1+4-2-1-1+1+1-4+3</f>
        <v>11</v>
      </c>
      <c r="R8" s="89">
        <f>0+2+3-1+1-1-1+1+1-2-1+1-1+1+1-1+1</f>
        <v>4</v>
      </c>
      <c r="S8" s="100">
        <f>0+1+2-1+2+1+3-2+1</f>
        <v>7</v>
      </c>
      <c r="T8" s="89">
        <f>0+1+2+1+1-2</f>
        <v>3</v>
      </c>
      <c r="U8" s="89">
        <f>0+1+1+1-1</f>
        <v>2</v>
      </c>
      <c r="V8" s="100">
        <f>0+1+1+1-2</f>
        <v>1</v>
      </c>
      <c r="W8" s="103">
        <f t="shared" si="5"/>
        <v>49</v>
      </c>
      <c r="X8" s="86"/>
      <c r="Y8" s="104" t="s">
        <v>58</v>
      </c>
      <c r="Z8" s="84" t="s">
        <v>60</v>
      </c>
      <c r="AA8" s="105">
        <f>0+2+1-1+1+2+1-1</f>
        <v>5</v>
      </c>
      <c r="AB8" s="105">
        <f>0+1-1+1+2+1+1-1+1+1-1-1+1+2-1+1</f>
        <v>7</v>
      </c>
      <c r="AC8" s="105">
        <f>0+1+2+1-1+1+1-1-1+1+5+2</f>
        <v>11</v>
      </c>
      <c r="AD8" s="105">
        <f>0+1+2+1-1+1+2-1-1+1+3-2</f>
        <v>6</v>
      </c>
      <c r="AE8" s="105">
        <f>0+2-1+1+2+1-1+1+1-1-2+1+1</f>
        <v>5</v>
      </c>
      <c r="AF8" s="105">
        <f>0+2-1+1+2+1+1-1-1+1+1</f>
        <v>6</v>
      </c>
      <c r="AG8" s="105">
        <f>0+2+2-1+1-1+1</f>
        <v>4</v>
      </c>
      <c r="AH8" s="89">
        <f t="shared" ref="AH8:AI8" si="6">0+1+1</f>
        <v>2</v>
      </c>
      <c r="AI8" s="89">
        <f t="shared" si="6"/>
        <v>2</v>
      </c>
      <c r="AJ8" s="89">
        <f t="shared" si="7"/>
        <v>48</v>
      </c>
      <c r="AK8" s="86"/>
    </row>
    <row r="9" ht="19.5" customHeight="1">
      <c r="A9" s="84" t="s">
        <v>61</v>
      </c>
      <c r="B9" s="89">
        <f>0+3-1+1+1</f>
        <v>4</v>
      </c>
      <c r="C9" s="89">
        <f>0+1+1-1+1+1-1+1+1+1-1+1</f>
        <v>5</v>
      </c>
      <c r="D9" s="89">
        <f>0+2-1+1+1-2+2+2-1+1-1+1+1-2+2</f>
        <v>6</v>
      </c>
      <c r="E9" s="89">
        <f>0+2-1+1+1</f>
        <v>3</v>
      </c>
      <c r="F9" s="89">
        <f>0+2-1+1+1-1+1+1-1+1+1-1-1+1+1+2</f>
        <v>7</v>
      </c>
      <c r="G9" s="89">
        <f>0+2-1+1+1-1+1+1</f>
        <v>4</v>
      </c>
      <c r="H9" s="89">
        <f t="shared" ref="H9:I9" si="8">0+1-1+1</f>
        <v>1</v>
      </c>
      <c r="I9" s="89">
        <f t="shared" si="8"/>
        <v>1</v>
      </c>
      <c r="J9" s="89">
        <f>0+1-1+1+1</f>
        <v>2</v>
      </c>
      <c r="K9" s="101">
        <f t="shared" si="4"/>
        <v>33</v>
      </c>
      <c r="X9" s="86"/>
      <c r="AK9" s="86"/>
    </row>
    <row r="10" ht="19.5" customHeight="1">
      <c r="A10" s="106" t="s">
        <v>34</v>
      </c>
      <c r="B10" s="89">
        <f t="shared" ref="B10:E10" si="9">0</f>
        <v>0</v>
      </c>
      <c r="C10" s="89">
        <f t="shared" si="9"/>
        <v>0</v>
      </c>
      <c r="D10" s="89">
        <f t="shared" si="9"/>
        <v>0</v>
      </c>
      <c r="E10" s="89">
        <f t="shared" si="9"/>
        <v>0</v>
      </c>
      <c r="F10" s="89">
        <f>0+2+1-1+1+1</f>
        <v>4</v>
      </c>
      <c r="G10" s="89">
        <f t="shared" ref="G10:J10" si="10">0</f>
        <v>0</v>
      </c>
      <c r="H10" s="89">
        <f t="shared" si="10"/>
        <v>0</v>
      </c>
      <c r="I10" s="89">
        <f t="shared" si="10"/>
        <v>0</v>
      </c>
      <c r="J10" s="89">
        <f t="shared" si="10"/>
        <v>0</v>
      </c>
      <c r="K10" s="101">
        <f t="shared" si="4"/>
        <v>4</v>
      </c>
      <c r="M10" s="76" t="s">
        <v>48</v>
      </c>
      <c r="N10" s="50"/>
      <c r="O10" s="50"/>
      <c r="P10" s="50"/>
      <c r="Q10" s="50"/>
      <c r="R10" s="50"/>
      <c r="S10" s="50"/>
      <c r="T10" s="50"/>
      <c r="U10" s="50"/>
      <c r="V10" s="50"/>
      <c r="W10" s="77"/>
      <c r="X10" s="86"/>
      <c r="Z10" s="76" t="s">
        <v>50</v>
      </c>
      <c r="AA10" s="50"/>
      <c r="AB10" s="50"/>
      <c r="AC10" s="50"/>
      <c r="AD10" s="50"/>
      <c r="AE10" s="50"/>
      <c r="AF10" s="50"/>
      <c r="AG10" s="50"/>
      <c r="AH10" s="50"/>
      <c r="AI10" s="50"/>
      <c r="AJ10" s="77"/>
      <c r="AK10" s="86"/>
    </row>
    <row r="11" ht="19.5" customHeight="1">
      <c r="A11" s="106" t="s">
        <v>26</v>
      </c>
      <c r="B11" s="89">
        <f>0+1</f>
        <v>1</v>
      </c>
      <c r="C11" s="89">
        <f>0+1-1+2-1+1+1</f>
        <v>3</v>
      </c>
      <c r="D11" s="89">
        <f>0+1+1-2+2-2+2</f>
        <v>2</v>
      </c>
      <c r="E11" s="89">
        <f>0+1+1+1-2+2+1</f>
        <v>4</v>
      </c>
      <c r="F11" s="89">
        <f>0+1+1</f>
        <v>2</v>
      </c>
      <c r="G11" s="89">
        <f t="shared" ref="G11:H11" si="11">0+1</f>
        <v>1</v>
      </c>
      <c r="H11" s="89">
        <f t="shared" si="11"/>
        <v>1</v>
      </c>
      <c r="I11" s="89">
        <f t="shared" ref="I11:J11" si="12">0+1-1+1+1-1+1+1</f>
        <v>3</v>
      </c>
      <c r="J11" s="89">
        <f t="shared" si="12"/>
        <v>3</v>
      </c>
      <c r="K11" s="101">
        <f t="shared" si="4"/>
        <v>20</v>
      </c>
      <c r="M11" s="107"/>
      <c r="N11" s="82" t="s">
        <v>2</v>
      </c>
      <c r="O11" s="50"/>
      <c r="P11" s="50"/>
      <c r="Q11" s="50"/>
      <c r="R11" s="50"/>
      <c r="S11" s="50"/>
      <c r="T11" s="50"/>
      <c r="U11" s="50"/>
      <c r="V11" s="51"/>
      <c r="W11" s="85"/>
      <c r="X11" s="86"/>
      <c r="Z11" s="107"/>
      <c r="AA11" s="82" t="s">
        <v>2</v>
      </c>
      <c r="AB11" s="50"/>
      <c r="AC11" s="50"/>
      <c r="AD11" s="50"/>
      <c r="AE11" s="50"/>
      <c r="AF11" s="50"/>
      <c r="AG11" s="50"/>
      <c r="AH11" s="50"/>
      <c r="AI11" s="51"/>
      <c r="AJ11" s="87"/>
      <c r="AK11" s="86"/>
    </row>
    <row r="12" ht="19.5" customHeight="1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10">
        <f>SUM(K7:K11)</f>
        <v>92</v>
      </c>
      <c r="M12" s="84" t="s">
        <v>52</v>
      </c>
      <c r="N12" s="89">
        <v>28.0</v>
      </c>
      <c r="O12" s="89">
        <v>30.0</v>
      </c>
      <c r="P12" s="89">
        <v>32.0</v>
      </c>
      <c r="Q12" s="89">
        <v>34.0</v>
      </c>
      <c r="R12" s="89">
        <v>36.0</v>
      </c>
      <c r="S12" s="89">
        <v>38.0</v>
      </c>
      <c r="T12" s="89">
        <v>40.0</v>
      </c>
      <c r="U12" s="89"/>
      <c r="V12" s="89"/>
      <c r="W12" s="90"/>
      <c r="X12" s="86"/>
      <c r="Z12" s="84" t="s">
        <v>52</v>
      </c>
      <c r="AA12" s="89">
        <v>28.0</v>
      </c>
      <c r="AB12" s="89">
        <v>30.0</v>
      </c>
      <c r="AC12" s="89">
        <v>32.0</v>
      </c>
      <c r="AD12" s="89">
        <v>34.0</v>
      </c>
      <c r="AE12" s="89">
        <v>36.0</v>
      </c>
      <c r="AF12" s="89">
        <v>38.0</v>
      </c>
      <c r="AG12" s="89">
        <v>40.0</v>
      </c>
      <c r="AH12" s="89"/>
      <c r="AI12" s="89"/>
      <c r="AJ12" s="87"/>
      <c r="AK12" s="86"/>
    </row>
    <row r="13" ht="19.5" customHeight="1">
      <c r="A13" s="111" t="s">
        <v>62</v>
      </c>
      <c r="B13" s="50"/>
      <c r="C13" s="50"/>
      <c r="D13" s="50"/>
      <c r="E13" s="50"/>
      <c r="F13" s="50"/>
      <c r="G13" s="50"/>
      <c r="H13" s="50"/>
      <c r="I13" s="50"/>
      <c r="J13" s="50"/>
      <c r="K13" s="51"/>
      <c r="M13" s="84"/>
      <c r="N13" s="112" t="s">
        <v>4</v>
      </c>
      <c r="O13" s="112" t="s">
        <v>53</v>
      </c>
      <c r="P13" s="112" t="s">
        <v>54</v>
      </c>
      <c r="Q13" s="112" t="s">
        <v>55</v>
      </c>
      <c r="R13" s="112" t="s">
        <v>56</v>
      </c>
      <c r="S13" s="112" t="s">
        <v>9</v>
      </c>
      <c r="T13" s="112" t="s">
        <v>10</v>
      </c>
      <c r="U13" s="112" t="s">
        <v>11</v>
      </c>
      <c r="V13" s="112" t="s">
        <v>12</v>
      </c>
      <c r="W13" s="113" t="s">
        <v>49</v>
      </c>
      <c r="X13" s="86"/>
      <c r="Z13" s="84"/>
      <c r="AA13" s="112" t="s">
        <v>4</v>
      </c>
      <c r="AB13" s="112" t="s">
        <v>53</v>
      </c>
      <c r="AC13" s="112" t="s">
        <v>54</v>
      </c>
      <c r="AD13" s="112" t="s">
        <v>55</v>
      </c>
      <c r="AE13" s="112" t="s">
        <v>56</v>
      </c>
      <c r="AF13" s="112" t="s">
        <v>9</v>
      </c>
      <c r="AG13" s="112" t="s">
        <v>10</v>
      </c>
      <c r="AH13" s="112" t="s">
        <v>11</v>
      </c>
      <c r="AI13" s="112" t="s">
        <v>12</v>
      </c>
      <c r="AJ13" s="113" t="s">
        <v>49</v>
      </c>
      <c r="AK13" s="86"/>
    </row>
    <row r="14" ht="19.5" customHeight="1">
      <c r="A14" s="81"/>
      <c r="B14" s="82" t="s">
        <v>2</v>
      </c>
      <c r="C14" s="50"/>
      <c r="D14" s="50"/>
      <c r="E14" s="50"/>
      <c r="F14" s="50"/>
      <c r="G14" s="50"/>
      <c r="H14" s="50"/>
      <c r="I14" s="50"/>
      <c r="J14" s="77"/>
      <c r="K14" s="114"/>
      <c r="M14" s="84" t="s">
        <v>59</v>
      </c>
      <c r="N14" s="89">
        <f>0+1-1+5+1-1-1+1+1</f>
        <v>6</v>
      </c>
      <c r="O14" s="89">
        <f>0+1+10-1+1+1+1-1+1-1+1-1-1+1-1+2-1+1</f>
        <v>13</v>
      </c>
      <c r="P14" s="89">
        <f>0+3+15+1-1+1+1-1-2+1+2-1+1-1+1+1-2+2-1-1+1-2+1-1+1</f>
        <v>19</v>
      </c>
      <c r="Q14" s="89">
        <f>0+1+1+15-1+1+1+1-1+1-1-1+2+1+2-1-1+1-3+1-2+2-3+3</f>
        <v>19</v>
      </c>
      <c r="R14" s="89">
        <f>0+1+10-1-3+1+3-2+1+3-2-1-1-1+1+2+1-2-1+1+1</f>
        <v>11</v>
      </c>
      <c r="S14" s="89">
        <f>0+1+8-1+1+1-1-1+1+1-1</f>
        <v>9</v>
      </c>
      <c r="T14" s="89">
        <f>0+1+5</f>
        <v>6</v>
      </c>
      <c r="U14" s="89">
        <f>0+1+1+1-2+1</f>
        <v>2</v>
      </c>
      <c r="V14" s="89">
        <f>0+1+1-1</f>
        <v>1</v>
      </c>
      <c r="W14" s="89">
        <f t="shared" ref="W14:W15" si="13">SUM(N14:V14)</f>
        <v>86</v>
      </c>
      <c r="X14" s="115"/>
      <c r="Y14" s="102" t="s">
        <v>58</v>
      </c>
      <c r="Z14" s="84" t="s">
        <v>59</v>
      </c>
      <c r="AA14" s="105">
        <f>0+1+1+2+1-1-1-1+1+1+1+1-1+1</f>
        <v>6</v>
      </c>
      <c r="AB14" s="105">
        <f>0+1+1+2+1-1-1-1+1+1+1+1-1+1+1-2-2+3</f>
        <v>6</v>
      </c>
      <c r="AC14" s="105">
        <f>0+1+1+2-1+1+1-1-1+1-1+1+1+1-1-1+1+1+1-1-1+1-1-4-1+1+1+5-1+1-1+1+1-1+1+1-1-1+1+4</f>
        <v>12</v>
      </c>
      <c r="AD14" s="105">
        <f>0+1-1+1+1-1-1+1+1+1-1+2+1+1-1-1-1+1+1-1+1+1-1-1+1-1+1+2-5+1+1-1-1+1-1-1+1+1+1+1-1+1-2+1-1+3-1+1</f>
        <v>6</v>
      </c>
      <c r="AE14" s="105">
        <f>0+2-1-1+1-1+1+1+1+1-2+2-1+1-1-1-1+1</f>
        <v>2</v>
      </c>
      <c r="AF14" s="105">
        <f>0+1+2+1-1-1+1+1-1-1-2+5-1+1-1-4</f>
        <v>0</v>
      </c>
      <c r="AG14" s="105">
        <f>0+1+2+1-1-1+1+1+1-1+1</f>
        <v>5</v>
      </c>
      <c r="AH14" s="89">
        <f>0+1+1-1-1+1+1-1</f>
        <v>1</v>
      </c>
      <c r="AI14" s="105">
        <f>0+1+1-1+1+1+1-1+1+1-1</f>
        <v>4</v>
      </c>
      <c r="AJ14" s="89">
        <f t="shared" ref="AJ14:AJ15" si="14">SUM(AA14:AI14)</f>
        <v>42</v>
      </c>
      <c r="AK14" s="115"/>
    </row>
    <row r="15" ht="19.5" customHeight="1">
      <c r="A15" s="81" t="s">
        <v>52</v>
      </c>
      <c r="B15" s="89">
        <v>28.0</v>
      </c>
      <c r="C15" s="89">
        <v>30.0</v>
      </c>
      <c r="D15" s="89">
        <v>32.0</v>
      </c>
      <c r="E15" s="89">
        <v>34.0</v>
      </c>
      <c r="F15" s="89">
        <v>36.0</v>
      </c>
      <c r="G15" s="89">
        <v>38.0</v>
      </c>
      <c r="H15" s="89">
        <v>40.0</v>
      </c>
      <c r="I15" s="89"/>
      <c r="J15" s="90"/>
      <c r="K15" s="114"/>
      <c r="M15" s="84" t="s">
        <v>60</v>
      </c>
      <c r="N15" s="89">
        <f>0+1+5+1-1+1+1-1+1-1+1-1</f>
        <v>7</v>
      </c>
      <c r="O15" s="89">
        <f>0+3+10+1-1+1+1-3-1</f>
        <v>11</v>
      </c>
      <c r="P15" s="89">
        <f>0+1+15-1-1+1+1-1-1+1-7+1+1+1+7-1+1-1-1+1-2+1-1+1</f>
        <v>16</v>
      </c>
      <c r="Q15" s="89">
        <f>0+1+15+1-1-1-1+1-1-7+1+7+1+2+1+1</f>
        <v>20</v>
      </c>
      <c r="R15" s="89">
        <f>0+3+10-1+1+1-1-1+1-7+1+7-3</f>
        <v>11</v>
      </c>
      <c r="S15" s="89">
        <f>0+10</f>
        <v>10</v>
      </c>
      <c r="T15" s="89">
        <f>0+1+5-1+1-1</f>
        <v>5</v>
      </c>
      <c r="U15" s="89">
        <f>0+1</f>
        <v>1</v>
      </c>
      <c r="V15" s="89">
        <f>0+1+1</f>
        <v>2</v>
      </c>
      <c r="W15" s="89">
        <f t="shared" si="13"/>
        <v>83</v>
      </c>
      <c r="X15" s="116">
        <f>SUM(W7:W8,W14:W15)</f>
        <v>268</v>
      </c>
      <c r="Y15" s="102" t="s">
        <v>58</v>
      </c>
      <c r="Z15" s="84" t="s">
        <v>60</v>
      </c>
      <c r="AA15" s="105">
        <f>0+2+2</f>
        <v>4</v>
      </c>
      <c r="AB15" s="105">
        <f>1+4-1+1</f>
        <v>5</v>
      </c>
      <c r="AC15" s="89">
        <f>0+2+1+1+1-1+1+1+1+2-1+1-5-4</f>
        <v>0</v>
      </c>
      <c r="AD15" s="105">
        <f>0+1+1+1+2+1-1+1-1+1+1+1-1+1-1+1+1-3+1+1-1+2-1+1-3</f>
        <v>6</v>
      </c>
      <c r="AE15" s="105">
        <f>0+1+2+1+1+1-1+1-1+1-3-1+1+1</f>
        <v>4</v>
      </c>
      <c r="AF15" s="117">
        <f>0+1+2+1-1-1-1+1+1-1+1</f>
        <v>3</v>
      </c>
      <c r="AG15" s="105">
        <f>0+1+1+2+1-1+1+1-1</f>
        <v>5</v>
      </c>
      <c r="AH15" s="105">
        <f>0+2+1-1+1</f>
        <v>3</v>
      </c>
      <c r="AI15" s="105">
        <f>0+1+1+1</f>
        <v>3</v>
      </c>
      <c r="AJ15" s="89">
        <f t="shared" si="14"/>
        <v>33</v>
      </c>
      <c r="AK15" s="118">
        <f>SUM(AJ7:AJ8,AJ14:AJ15)</f>
        <v>180</v>
      </c>
    </row>
    <row r="16" ht="19.5" customHeight="1">
      <c r="A16" s="81"/>
      <c r="B16" s="112" t="s">
        <v>4</v>
      </c>
      <c r="C16" s="112" t="s">
        <v>53</v>
      </c>
      <c r="D16" s="112" t="s">
        <v>54</v>
      </c>
      <c r="E16" s="112" t="s">
        <v>55</v>
      </c>
      <c r="F16" s="112" t="s">
        <v>56</v>
      </c>
      <c r="G16" s="112" t="s">
        <v>9</v>
      </c>
      <c r="H16" s="112" t="s">
        <v>10</v>
      </c>
      <c r="I16" s="112" t="s">
        <v>11</v>
      </c>
      <c r="J16" s="85" t="s">
        <v>12</v>
      </c>
      <c r="K16" s="119" t="s">
        <v>49</v>
      </c>
      <c r="O16" s="120">
        <v>1.0</v>
      </c>
    </row>
    <row r="17" ht="21.0" customHeight="1">
      <c r="A17" s="84" t="s">
        <v>57</v>
      </c>
      <c r="B17" s="89">
        <f>0+2+1</f>
        <v>3</v>
      </c>
      <c r="C17" s="89">
        <f>0+2-1+1+1-2+1+1</f>
        <v>3</v>
      </c>
      <c r="D17" s="89">
        <f>0+1</f>
        <v>1</v>
      </c>
      <c r="E17" s="89">
        <f>0+1+2-2+2-1+1-1+1-1-2+1+2-2-1+1</f>
        <v>1</v>
      </c>
      <c r="F17" s="89">
        <f>0+1-1+1+2-1+1</f>
        <v>3</v>
      </c>
      <c r="G17" s="89">
        <f>0+1</f>
        <v>1</v>
      </c>
      <c r="H17" s="89">
        <f>0+1-1+1+1</f>
        <v>2</v>
      </c>
      <c r="I17" s="89">
        <f t="shared" ref="I17:J17" si="15">0+1</f>
        <v>1</v>
      </c>
      <c r="J17" s="89">
        <f t="shared" si="15"/>
        <v>1</v>
      </c>
      <c r="K17" s="114">
        <f t="shared" ref="K17:K21" si="16">SUM(B17:J17)</f>
        <v>16</v>
      </c>
      <c r="M17" s="76" t="s">
        <v>63</v>
      </c>
      <c r="N17" s="50"/>
      <c r="O17" s="50"/>
      <c r="P17" s="50"/>
      <c r="Q17" s="50"/>
      <c r="R17" s="50"/>
      <c r="S17" s="50"/>
      <c r="T17" s="50"/>
      <c r="U17" s="50"/>
      <c r="V17" s="50"/>
      <c r="W17" s="77"/>
      <c r="X17" s="78" t="s">
        <v>49</v>
      </c>
      <c r="Z17" s="121" t="s">
        <v>64</v>
      </c>
      <c r="AA17" s="50"/>
      <c r="AB17" s="50"/>
      <c r="AC17" s="50"/>
      <c r="AD17" s="50"/>
      <c r="AE17" s="50"/>
      <c r="AF17" s="50"/>
      <c r="AG17" s="50"/>
      <c r="AH17" s="50"/>
      <c r="AI17" s="50"/>
      <c r="AJ17" s="77"/>
      <c r="AK17" s="78" t="s">
        <v>49</v>
      </c>
    </row>
    <row r="18" ht="19.5" customHeight="1">
      <c r="A18" s="106" t="s">
        <v>13</v>
      </c>
      <c r="B18" s="89">
        <f>0+5-1+1+1-2+2+1-2+2+1</f>
        <v>8</v>
      </c>
      <c r="C18" s="89">
        <f>0+4-1-1+1+1-1+1-1+1+1-1+1-1-1+1</f>
        <v>4</v>
      </c>
      <c r="D18" s="89">
        <f>0+1-1+1+1-1-1+1-1+1-2+1-1+1-1+1+1-1+1+1+2-1-2+1+2+1-1+1</f>
        <v>5</v>
      </c>
      <c r="E18" s="89">
        <f>0+1+1-1-1+1+1-1+1+1-1-1+1+1-1-1-1+1+1+1+1-1-1+1-1+1+1-1+1-2-1+2-1-1</f>
        <v>1</v>
      </c>
      <c r="F18" s="89">
        <f>0+2-1+1+1-1-2</f>
        <v>0</v>
      </c>
      <c r="G18" s="89">
        <f>0+1-1+1+4-1+1-1-1-1+1+1+1-2-2+1</f>
        <v>2</v>
      </c>
      <c r="H18" s="89">
        <f>0+4+1-4+1+4-1-2+2+1</f>
        <v>6</v>
      </c>
      <c r="I18" s="89">
        <f>6</f>
        <v>6</v>
      </c>
      <c r="J18" s="89">
        <f>0+1+1-1+1-1+2</f>
        <v>3</v>
      </c>
      <c r="K18" s="114">
        <f t="shared" si="16"/>
        <v>35</v>
      </c>
      <c r="M18" s="84"/>
      <c r="N18" s="82" t="s">
        <v>1</v>
      </c>
      <c r="O18" s="50"/>
      <c r="P18" s="50"/>
      <c r="Q18" s="50"/>
      <c r="R18" s="50"/>
      <c r="S18" s="50"/>
      <c r="T18" s="50"/>
      <c r="U18" s="50"/>
      <c r="V18" s="51"/>
      <c r="W18" s="85"/>
      <c r="X18" s="86"/>
      <c r="Z18" s="84"/>
      <c r="AA18" s="82" t="s">
        <v>1</v>
      </c>
      <c r="AB18" s="50"/>
      <c r="AC18" s="50"/>
      <c r="AD18" s="50"/>
      <c r="AE18" s="50"/>
      <c r="AF18" s="50"/>
      <c r="AG18" s="50"/>
      <c r="AH18" s="50"/>
      <c r="AI18" s="51"/>
      <c r="AJ18" s="87"/>
      <c r="AK18" s="86"/>
    </row>
    <row r="19" ht="19.5" customHeight="1">
      <c r="A19" s="84" t="s">
        <v>61</v>
      </c>
      <c r="B19" s="89">
        <f>0+1-1+1</f>
        <v>1</v>
      </c>
      <c r="C19" s="89">
        <f>0+1+1-1+1-1</f>
        <v>1</v>
      </c>
      <c r="D19" s="89">
        <f>0+1-1+1-1+3-1-1</f>
        <v>1</v>
      </c>
      <c r="E19" s="89">
        <f t="shared" ref="E19:E20" si="19">0</f>
        <v>0</v>
      </c>
      <c r="F19" s="89">
        <f>0+1+1-1-1+2-1-1+1-1</f>
        <v>0</v>
      </c>
      <c r="G19" s="89">
        <f>0+1-1+1-1</f>
        <v>0</v>
      </c>
      <c r="H19" s="89">
        <f>0+1-1+2</f>
        <v>2</v>
      </c>
      <c r="I19" s="89">
        <f t="shared" ref="I19:J19" si="17">0</f>
        <v>0</v>
      </c>
      <c r="J19" s="89">
        <f t="shared" si="17"/>
        <v>0</v>
      </c>
      <c r="K19" s="114">
        <f t="shared" si="16"/>
        <v>5</v>
      </c>
      <c r="M19" s="84" t="s">
        <v>52</v>
      </c>
      <c r="N19" s="89">
        <v>28.0</v>
      </c>
      <c r="O19" s="89">
        <v>30.0</v>
      </c>
      <c r="P19" s="89">
        <v>32.0</v>
      </c>
      <c r="Q19" s="89">
        <v>34.0</v>
      </c>
      <c r="R19" s="89">
        <v>36.0</v>
      </c>
      <c r="S19" s="89">
        <v>38.0</v>
      </c>
      <c r="T19" s="89">
        <v>40.0</v>
      </c>
      <c r="U19" s="89"/>
      <c r="V19" s="89"/>
      <c r="W19" s="90"/>
      <c r="X19" s="86"/>
      <c r="Z19" s="84" t="s">
        <v>52</v>
      </c>
      <c r="AA19" s="89">
        <v>28.0</v>
      </c>
      <c r="AB19" s="89">
        <v>30.0</v>
      </c>
      <c r="AC19" s="89">
        <v>32.0</v>
      </c>
      <c r="AD19" s="89">
        <v>34.0</v>
      </c>
      <c r="AE19" s="89">
        <v>36.0</v>
      </c>
      <c r="AF19" s="89">
        <v>38.0</v>
      </c>
      <c r="AG19" s="89">
        <v>40.0</v>
      </c>
      <c r="AH19" s="89"/>
      <c r="AI19" s="89"/>
      <c r="AJ19" s="87"/>
      <c r="AK19" s="86"/>
    </row>
    <row r="20" ht="27.0" customHeight="1">
      <c r="A20" s="106" t="s">
        <v>34</v>
      </c>
      <c r="B20" s="89">
        <f t="shared" ref="B20:C20" si="18">0</f>
        <v>0</v>
      </c>
      <c r="C20" s="89">
        <f t="shared" si="18"/>
        <v>0</v>
      </c>
      <c r="D20" s="89">
        <f>0+1-1+1</f>
        <v>1</v>
      </c>
      <c r="E20" s="89">
        <f t="shared" si="19"/>
        <v>0</v>
      </c>
      <c r="F20" s="89">
        <f>0</f>
        <v>0</v>
      </c>
      <c r="G20" s="89">
        <f t="shared" ref="G20:G21" si="22">0</f>
        <v>0</v>
      </c>
      <c r="H20" s="89">
        <f t="shared" ref="H20:J20" si="20">0</f>
        <v>0</v>
      </c>
      <c r="I20" s="89">
        <f t="shared" si="20"/>
        <v>0</v>
      </c>
      <c r="J20" s="89">
        <f t="shared" si="20"/>
        <v>0</v>
      </c>
      <c r="K20" s="114">
        <f t="shared" si="16"/>
        <v>1</v>
      </c>
      <c r="M20" s="84"/>
      <c r="N20" s="112" t="s">
        <v>4</v>
      </c>
      <c r="O20" s="112" t="s">
        <v>53</v>
      </c>
      <c r="P20" s="112" t="s">
        <v>54</v>
      </c>
      <c r="Q20" s="112" t="s">
        <v>55</v>
      </c>
      <c r="R20" s="112" t="s">
        <v>56</v>
      </c>
      <c r="S20" s="112" t="s">
        <v>9</v>
      </c>
      <c r="T20" s="112" t="s">
        <v>10</v>
      </c>
      <c r="U20" s="112" t="s">
        <v>11</v>
      </c>
      <c r="V20" s="112" t="s">
        <v>12</v>
      </c>
      <c r="W20" s="113" t="s">
        <v>49</v>
      </c>
      <c r="X20" s="86"/>
      <c r="Z20" s="84"/>
      <c r="AA20" s="112" t="s">
        <v>4</v>
      </c>
      <c r="AB20" s="112" t="s">
        <v>53</v>
      </c>
      <c r="AC20" s="112" t="s">
        <v>54</v>
      </c>
      <c r="AD20" s="112" t="s">
        <v>55</v>
      </c>
      <c r="AE20" s="112" t="s">
        <v>56</v>
      </c>
      <c r="AF20" s="112" t="s">
        <v>9</v>
      </c>
      <c r="AG20" s="112" t="s">
        <v>10</v>
      </c>
      <c r="AH20" s="112" t="s">
        <v>11</v>
      </c>
      <c r="AI20" s="112" t="s">
        <v>12</v>
      </c>
      <c r="AJ20" s="113" t="s">
        <v>49</v>
      </c>
      <c r="AK20" s="86"/>
    </row>
    <row r="21" ht="19.5" customHeight="1">
      <c r="A21" s="106" t="s">
        <v>26</v>
      </c>
      <c r="B21" s="89">
        <f t="shared" ref="B21:C21" si="21">0</f>
        <v>0</v>
      </c>
      <c r="C21" s="89">
        <f t="shared" si="21"/>
        <v>0</v>
      </c>
      <c r="D21" s="89">
        <f>0+1+1+1</f>
        <v>3</v>
      </c>
      <c r="E21" s="89">
        <f>0+1-1+1</f>
        <v>1</v>
      </c>
      <c r="F21" s="89">
        <f>0+1-1+1-1+1+1</f>
        <v>2</v>
      </c>
      <c r="G21" s="89">
        <f t="shared" si="22"/>
        <v>0</v>
      </c>
      <c r="H21" s="89">
        <f t="shared" ref="H21:J21" si="23">0</f>
        <v>0</v>
      </c>
      <c r="I21" s="89">
        <f t="shared" si="23"/>
        <v>0</v>
      </c>
      <c r="J21" s="89">
        <f t="shared" si="23"/>
        <v>0</v>
      </c>
      <c r="K21" s="114">
        <f t="shared" si="16"/>
        <v>6</v>
      </c>
      <c r="M21" s="84" t="s">
        <v>59</v>
      </c>
      <c r="N21" s="89">
        <f>0+2+2-1-1+1+1+1+1-1+1+1-1+1-1+1+1</f>
        <v>8</v>
      </c>
      <c r="O21" s="89">
        <f>0+1+3+3-1-1-1+1+1+1-1-3+1+1+1+1+1-1+1+1-1-1+1-3+3-1+1-1+1+1-4+4</f>
        <v>9</v>
      </c>
      <c r="P21" s="89">
        <f>0+2+5-1+1+3-6-1-1+6-1+1+1-6-1+1-3+6-1-5+1+3+3+4-1-2+2+1+1-1+1+1-1+1-3+3-1-1+1-1+1+1-12+12</f>
        <v>13</v>
      </c>
      <c r="Q21" s="89">
        <f>0+3+5-1+2-1+3-2+1+1-1-1+2+1+1-1-4-1-4+1+4+4+4-1-1+1+1-1-1+1+1-1+1+1-7+7-1+1-1-1+1+1</f>
        <v>17</v>
      </c>
      <c r="R21" s="89">
        <f>0+3+3+3-2-1-1+2-1+1+1+1-1-1+1+2+1-1+1+2-3-1+1+1-1+1-1+1-1-1+1+1</f>
        <v>11</v>
      </c>
      <c r="S21" s="89">
        <f>0+2+2+3-1-1+1+1-1-1+1+1+1-1+1-1+1+1-1+1+1-1+1+1</f>
        <v>11</v>
      </c>
      <c r="T21" s="89">
        <f>0+1-1+3-1+1+1-1+1+1-1+1-1+1+1</f>
        <v>6</v>
      </c>
      <c r="U21" s="89">
        <f t="shared" ref="U21:V21" si="24">0+1+1-1+1+1-1+1-1+1+1</f>
        <v>4</v>
      </c>
      <c r="V21" s="89">
        <f t="shared" si="24"/>
        <v>4</v>
      </c>
      <c r="W21" s="90">
        <f t="shared" ref="W21:W23" si="25">SUM(N21:V21)</f>
        <v>83</v>
      </c>
      <c r="X21" s="86"/>
      <c r="Y21" s="102" t="s">
        <v>58</v>
      </c>
      <c r="Z21" s="84" t="s">
        <v>59</v>
      </c>
      <c r="AA21" s="105">
        <f>0+9-9</f>
        <v>0</v>
      </c>
      <c r="AB21" s="105">
        <f>13+2-1+2+1-17</f>
        <v>0</v>
      </c>
      <c r="AC21" s="117">
        <f>14+17-31</f>
        <v>0</v>
      </c>
      <c r="AD21" s="105">
        <f>10+1+1-12</f>
        <v>0</v>
      </c>
      <c r="AE21" s="105">
        <f>16+1-1+1-17</f>
        <v>0</v>
      </c>
      <c r="AF21" s="105">
        <f>10+1+1-12</f>
        <v>0</v>
      </c>
      <c r="AG21" s="105">
        <f>13+1-14</f>
        <v>0</v>
      </c>
      <c r="AH21" s="105">
        <f>4-4</f>
        <v>0</v>
      </c>
      <c r="AI21" s="89">
        <f>0+1+1-1-1+1+1-1+1</f>
        <v>2</v>
      </c>
      <c r="AJ21" s="89">
        <f t="shared" ref="AJ21:AJ23" si="27">SUM(AA21:AI21)</f>
        <v>2</v>
      </c>
      <c r="AK21" s="86"/>
    </row>
    <row r="22" ht="19.5" customHeight="1">
      <c r="A22" s="122"/>
      <c r="B22" s="109"/>
      <c r="C22" s="109"/>
      <c r="D22" s="109"/>
      <c r="E22" s="109"/>
      <c r="F22" s="109"/>
      <c r="G22" s="109"/>
      <c r="H22" s="109"/>
      <c r="I22" s="109"/>
      <c r="J22" s="109"/>
      <c r="K22" s="110">
        <f>SUM(K17:K21)</f>
        <v>63</v>
      </c>
      <c r="M22" s="84" t="s">
        <v>60</v>
      </c>
      <c r="N22" s="89">
        <f>0+2</f>
        <v>2</v>
      </c>
      <c r="O22" s="89">
        <f>0+1-1+2-1+1+1+3-4+1-1+1</f>
        <v>3</v>
      </c>
      <c r="P22" s="89">
        <f>0+4+1-1+1-1-1+1+1-1-1+1+1-1+1-2+1-2+3-1</f>
        <v>4</v>
      </c>
      <c r="Q22" s="89">
        <f>0+1+1+1-1+1</f>
        <v>3</v>
      </c>
      <c r="R22" s="89">
        <f>0</f>
        <v>0</v>
      </c>
      <c r="S22" s="89">
        <f>0+1-1+1-1+1+2-1-1</f>
        <v>1</v>
      </c>
      <c r="T22" s="89">
        <f>0+2-1+1+1</f>
        <v>3</v>
      </c>
      <c r="U22" s="89">
        <f>0+1+1</f>
        <v>2</v>
      </c>
      <c r="V22" s="89">
        <f>0+1</f>
        <v>1</v>
      </c>
      <c r="W22" s="90">
        <f t="shared" si="25"/>
        <v>19</v>
      </c>
      <c r="X22" s="86"/>
      <c r="Y22" s="102" t="s">
        <v>58</v>
      </c>
      <c r="Z22" s="84" t="s">
        <v>60</v>
      </c>
      <c r="AA22" s="105">
        <f>5+2</f>
        <v>7</v>
      </c>
      <c r="AB22" s="105">
        <f>14+4</f>
        <v>18</v>
      </c>
      <c r="AC22" s="123">
        <f>16+2</f>
        <v>18</v>
      </c>
      <c r="AD22" s="117">
        <f>20+1</f>
        <v>21</v>
      </c>
      <c r="AE22" s="105">
        <f>10+2</f>
        <v>12</v>
      </c>
      <c r="AF22" s="105">
        <f>7+2</f>
        <v>9</v>
      </c>
      <c r="AG22" s="89">
        <f>0+2-1+1-1+1-1+1</f>
        <v>2</v>
      </c>
      <c r="AH22" s="105">
        <f t="shared" ref="AH22:AI22" si="26">0+1+2</f>
        <v>3</v>
      </c>
      <c r="AI22" s="105">
        <f t="shared" si="26"/>
        <v>3</v>
      </c>
      <c r="AJ22" s="89">
        <f t="shared" si="27"/>
        <v>93</v>
      </c>
      <c r="AK22" s="86"/>
    </row>
    <row r="23" ht="19.5" customHeight="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24"/>
      <c r="L23" s="102" t="s">
        <v>58</v>
      </c>
      <c r="M23" s="84" t="s">
        <v>65</v>
      </c>
      <c r="N23" s="89">
        <f>0+1+2-1</f>
        <v>2</v>
      </c>
      <c r="O23" s="89">
        <f t="shared" ref="O23:Q23" si="28">0+1+1</f>
        <v>2</v>
      </c>
      <c r="P23" s="89">
        <f t="shared" si="28"/>
        <v>2</v>
      </c>
      <c r="Q23" s="89">
        <f t="shared" si="28"/>
        <v>2</v>
      </c>
      <c r="R23" s="89">
        <f t="shared" ref="R23:S23" si="29">0+1</f>
        <v>1</v>
      </c>
      <c r="S23" s="89">
        <f t="shared" si="29"/>
        <v>1</v>
      </c>
      <c r="T23" s="89">
        <f t="shared" ref="T23:V23" si="30">0</f>
        <v>0</v>
      </c>
      <c r="U23" s="89">
        <f t="shared" si="30"/>
        <v>0</v>
      </c>
      <c r="V23" s="89">
        <f t="shared" si="30"/>
        <v>0</v>
      </c>
      <c r="W23" s="90">
        <f t="shared" si="25"/>
        <v>10</v>
      </c>
      <c r="X23" s="86"/>
      <c r="Z23" s="84" t="s">
        <v>65</v>
      </c>
      <c r="AA23" s="89">
        <f>0+1-1+1+1-1+1+1-1-2</f>
        <v>0</v>
      </c>
      <c r="AB23" s="89">
        <f>0+2-1-1+1-1</f>
        <v>0</v>
      </c>
      <c r="AC23" s="105">
        <f>0+1-1+1+2+1+1-1-1</f>
        <v>3</v>
      </c>
      <c r="AD23" s="89">
        <f>0+1-1</f>
        <v>0</v>
      </c>
      <c r="AE23" s="105">
        <f>0+2+2+1-1</f>
        <v>4</v>
      </c>
      <c r="AF23" s="105">
        <f>0+2-1+2+1+1</f>
        <v>5</v>
      </c>
      <c r="AG23" s="89">
        <f>0+1</f>
        <v>1</v>
      </c>
      <c r="AH23" s="89">
        <f t="shared" ref="AH23:AI23" si="31">0+1+1</f>
        <v>2</v>
      </c>
      <c r="AI23" s="89">
        <f t="shared" si="31"/>
        <v>2</v>
      </c>
      <c r="AJ23" s="89">
        <f t="shared" si="27"/>
        <v>17</v>
      </c>
      <c r="AK23" s="86"/>
    </row>
    <row r="24" ht="19.5" customHeight="1">
      <c r="A24" s="111" t="s">
        <v>66</v>
      </c>
      <c r="B24" s="50"/>
      <c r="C24" s="50"/>
      <c r="D24" s="50"/>
      <c r="E24" s="50"/>
      <c r="F24" s="50"/>
      <c r="G24" s="50"/>
      <c r="H24" s="50"/>
      <c r="I24" s="50"/>
      <c r="J24" s="50"/>
      <c r="K24" s="51"/>
      <c r="X24" s="86"/>
      <c r="AF24" s="125"/>
      <c r="AK24" s="86"/>
    </row>
    <row r="25" ht="19.5" customHeight="1">
      <c r="A25" s="81"/>
      <c r="B25" s="82" t="s">
        <v>1</v>
      </c>
      <c r="C25" s="50"/>
      <c r="D25" s="50"/>
      <c r="E25" s="50"/>
      <c r="F25" s="50"/>
      <c r="G25" s="50"/>
      <c r="H25" s="50"/>
      <c r="I25" s="50"/>
      <c r="J25" s="51"/>
      <c r="K25" s="124"/>
      <c r="M25" s="76" t="s">
        <v>67</v>
      </c>
      <c r="N25" s="50"/>
      <c r="O25" s="50"/>
      <c r="P25" s="50"/>
      <c r="Q25" s="50"/>
      <c r="R25" s="50"/>
      <c r="S25" s="50"/>
      <c r="T25" s="50"/>
      <c r="U25" s="50"/>
      <c r="V25" s="50"/>
      <c r="W25" s="77"/>
      <c r="X25" s="86"/>
      <c r="Z25" s="76" t="s">
        <v>68</v>
      </c>
      <c r="AA25" s="50"/>
      <c r="AB25" s="50"/>
      <c r="AC25" s="50"/>
      <c r="AD25" s="50"/>
      <c r="AE25" s="50"/>
      <c r="AF25" s="50"/>
      <c r="AG25" s="50"/>
      <c r="AH25" s="50"/>
      <c r="AI25" s="50"/>
      <c r="AJ25" s="77"/>
      <c r="AK25" s="86"/>
    </row>
    <row r="26" ht="19.5" customHeight="1">
      <c r="A26" s="81" t="s">
        <v>52</v>
      </c>
      <c r="B26" s="89">
        <v>28.0</v>
      </c>
      <c r="C26" s="89">
        <v>30.0</v>
      </c>
      <c r="D26" s="89">
        <v>32.0</v>
      </c>
      <c r="E26" s="89">
        <v>34.0</v>
      </c>
      <c r="F26" s="89">
        <v>36.0</v>
      </c>
      <c r="G26" s="89">
        <v>38.0</v>
      </c>
      <c r="H26" s="89">
        <v>40.0</v>
      </c>
      <c r="I26" s="89"/>
      <c r="J26" s="89"/>
      <c r="K26" s="114"/>
      <c r="M26" s="107"/>
      <c r="N26" s="82" t="s">
        <v>2</v>
      </c>
      <c r="O26" s="50"/>
      <c r="P26" s="50"/>
      <c r="Q26" s="50"/>
      <c r="R26" s="50"/>
      <c r="S26" s="50"/>
      <c r="T26" s="50"/>
      <c r="U26" s="50"/>
      <c r="V26" s="51"/>
      <c r="W26" s="85"/>
      <c r="X26" s="86"/>
      <c r="Z26" s="107"/>
      <c r="AA26" s="82" t="s">
        <v>2</v>
      </c>
      <c r="AB26" s="50"/>
      <c r="AC26" s="50"/>
      <c r="AD26" s="50"/>
      <c r="AE26" s="50"/>
      <c r="AF26" s="50"/>
      <c r="AG26" s="50"/>
      <c r="AH26" s="50"/>
      <c r="AI26" s="51"/>
      <c r="AJ26" s="87"/>
      <c r="AK26" s="86"/>
    </row>
    <row r="27" ht="19.5" customHeight="1">
      <c r="A27" s="81"/>
      <c r="B27" s="112" t="s">
        <v>4</v>
      </c>
      <c r="C27" s="112" t="s">
        <v>53</v>
      </c>
      <c r="D27" s="112" t="s">
        <v>54</v>
      </c>
      <c r="E27" s="112" t="s">
        <v>55</v>
      </c>
      <c r="F27" s="112" t="s">
        <v>56</v>
      </c>
      <c r="G27" s="112" t="s">
        <v>9</v>
      </c>
      <c r="H27" s="112" t="s">
        <v>10</v>
      </c>
      <c r="I27" s="112" t="s">
        <v>11</v>
      </c>
      <c r="J27" s="112" t="s">
        <v>12</v>
      </c>
      <c r="K27" s="119" t="s">
        <v>49</v>
      </c>
      <c r="M27" s="84" t="s">
        <v>52</v>
      </c>
      <c r="N27" s="89">
        <v>28.0</v>
      </c>
      <c r="O27" s="89">
        <v>30.0</v>
      </c>
      <c r="P27" s="89">
        <v>32.0</v>
      </c>
      <c r="Q27" s="89">
        <v>34.0</v>
      </c>
      <c r="R27" s="89">
        <v>36.0</v>
      </c>
      <c r="S27" s="89">
        <v>38.0</v>
      </c>
      <c r="T27" s="89">
        <v>40.0</v>
      </c>
      <c r="U27" s="89"/>
      <c r="V27" s="89"/>
      <c r="W27" s="90"/>
      <c r="X27" s="86"/>
      <c r="Z27" s="84" t="s">
        <v>52</v>
      </c>
      <c r="AA27" s="89">
        <v>28.0</v>
      </c>
      <c r="AB27" s="89">
        <v>30.0</v>
      </c>
      <c r="AC27" s="89">
        <v>32.0</v>
      </c>
      <c r="AD27" s="89">
        <v>34.0</v>
      </c>
      <c r="AE27" s="89">
        <v>36.0</v>
      </c>
      <c r="AF27" s="89">
        <v>38.0</v>
      </c>
      <c r="AG27" s="89">
        <v>40.0</v>
      </c>
      <c r="AH27" s="89"/>
      <c r="AI27" s="89"/>
      <c r="AJ27" s="87"/>
      <c r="AK27" s="86"/>
    </row>
    <row r="28" ht="17.25" customHeight="1">
      <c r="A28" s="84" t="s">
        <v>57</v>
      </c>
      <c r="B28" s="89">
        <f>0+2-2+1</f>
        <v>1</v>
      </c>
      <c r="C28" s="89">
        <f>0+5-5+1+1</f>
        <v>2</v>
      </c>
      <c r="D28" s="89">
        <f>0+5-3+1-3+1</f>
        <v>1</v>
      </c>
      <c r="E28" s="89">
        <f>0+1-1+1</f>
        <v>1</v>
      </c>
      <c r="F28" s="89">
        <f>0+3-1-2+1</f>
        <v>1</v>
      </c>
      <c r="G28" s="89">
        <f>0+2-2+1</f>
        <v>1</v>
      </c>
      <c r="H28" s="89">
        <f>0+1-1+1</f>
        <v>1</v>
      </c>
      <c r="I28" s="89">
        <f t="shared" ref="I28:J28" si="32">0+1</f>
        <v>1</v>
      </c>
      <c r="J28" s="89">
        <f t="shared" si="32"/>
        <v>1</v>
      </c>
      <c r="K28" s="114">
        <f t="shared" ref="K28:K29" si="34">SUM(B28:J28)</f>
        <v>10</v>
      </c>
      <c r="M28" s="84"/>
      <c r="N28" s="112" t="s">
        <v>4</v>
      </c>
      <c r="O28" s="112" t="s">
        <v>53</v>
      </c>
      <c r="P28" s="112" t="s">
        <v>54</v>
      </c>
      <c r="Q28" s="112" t="s">
        <v>55</v>
      </c>
      <c r="R28" s="112" t="s">
        <v>56</v>
      </c>
      <c r="S28" s="112" t="s">
        <v>9</v>
      </c>
      <c r="T28" s="112" t="s">
        <v>10</v>
      </c>
      <c r="U28" s="112" t="s">
        <v>11</v>
      </c>
      <c r="V28" s="112" t="s">
        <v>12</v>
      </c>
      <c r="W28" s="113" t="s">
        <v>49</v>
      </c>
      <c r="X28" s="86"/>
      <c r="Z28" s="84"/>
      <c r="AA28" s="112" t="s">
        <v>4</v>
      </c>
      <c r="AB28" s="112" t="s">
        <v>53</v>
      </c>
      <c r="AC28" s="112" t="s">
        <v>54</v>
      </c>
      <c r="AD28" s="112" t="s">
        <v>55</v>
      </c>
      <c r="AE28" s="112" t="s">
        <v>56</v>
      </c>
      <c r="AF28" s="112" t="s">
        <v>9</v>
      </c>
      <c r="AG28" s="112" t="s">
        <v>10</v>
      </c>
      <c r="AH28" s="112" t="s">
        <v>11</v>
      </c>
      <c r="AI28" s="112" t="s">
        <v>12</v>
      </c>
      <c r="AJ28" s="113" t="s">
        <v>49</v>
      </c>
      <c r="AK28" s="86"/>
    </row>
    <row r="29" ht="19.5" customHeight="1">
      <c r="A29" s="84" t="s">
        <v>69</v>
      </c>
      <c r="B29" s="89">
        <f>0+3+6+1-3</f>
        <v>7</v>
      </c>
      <c r="C29" s="89">
        <f>0+5-1</f>
        <v>4</v>
      </c>
      <c r="D29" s="89">
        <f>0+6-3-1-1+1+1-1+1</f>
        <v>3</v>
      </c>
      <c r="E29" s="89">
        <f>0+4-1+1+1</f>
        <v>5</v>
      </c>
      <c r="F29" s="89">
        <f>0+1+1</f>
        <v>2</v>
      </c>
      <c r="G29" s="89">
        <f>0+1+1</f>
        <v>2</v>
      </c>
      <c r="H29" s="89">
        <f>0+1</f>
        <v>1</v>
      </c>
      <c r="I29" s="89">
        <f t="shared" ref="I29:J29" si="33">0</f>
        <v>0</v>
      </c>
      <c r="J29" s="89">
        <f t="shared" si="33"/>
        <v>0</v>
      </c>
      <c r="K29" s="114">
        <f t="shared" si="34"/>
        <v>24</v>
      </c>
      <c r="L29" s="102" t="s">
        <v>58</v>
      </c>
      <c r="M29" s="84" t="s">
        <v>59</v>
      </c>
      <c r="N29" s="89">
        <f>0+1+4-1+1-1+1+6+2-1-1+1-1+1-1+1+1</f>
        <v>13</v>
      </c>
      <c r="O29" s="89">
        <f>0+7+7+13+9+7-1+1+3-1-1-3+1+1+1-1-1+3+1+1+1-1-1-1-1-2+1+1+1+2-1+1-2+2+2-2+1-1+1+1-1-1+1-1+1-2+2-1-1+1+1-22</f>
        <v>26</v>
      </c>
      <c r="P29" s="89">
        <f>0+1+10-2+2+3-1-1-2-1-1+1-3-4+1+1+1+4+3-1-2-1-1-6+1+2+2+1+1+1-1+6+1-1-1+1-1+3+1-1+1-1+1+1-1+1-1+1+5-4-1+1-1+1+1-1+1+1-20</f>
        <v>1</v>
      </c>
      <c r="Q29" s="89">
        <f>0+1-1+1+10-1+1+3-4-6-1-1-1-1+4+6+1-1-2+1+1+1+2+1-6-1-1-1-2-2+2-2+1+2+1-1-1-2-1+2+1+1-1-1+1+1-1-1+1-3+5-5+1+1-2+1-1+1+1</f>
        <v>2</v>
      </c>
      <c r="R29" s="89">
        <f>0+3+15-1+8+1-1+1-1-3+3+3-4+1+1-1-1-1-1+1-1+4+1-1+1+1-1+1-8-2-1-2-1-4+1+1+1+2+3+8-1+4-3-1+3+1+1+1-1-2+1-1+1+1+1-1+1-1-1+1-1-7-1-1-1+1+1-1+1-12+12+1-22</f>
        <v>0</v>
      </c>
      <c r="S29" s="89">
        <f>0+2+5-1+1-3+3+3-5-2-1-1-1+5+2+1+1-6-1-1-1+1-1+1-1+1-1+1+1+1-1+1-3+3+6-1+1-9</f>
        <v>0</v>
      </c>
      <c r="T29" s="89">
        <f>0+1-1+5+1-2-1-1+2+1+1-3-1-1-1+1+1+1+3+1+2+1+1+1+1-3-1+1+1-1+1-1-1-1+1+1</f>
        <v>10</v>
      </c>
      <c r="U29" s="89">
        <f>0+1+1-1-1+6+1+1+1-1+1-1+1+1-1-1+1+1+1-1+1+1</f>
        <v>12</v>
      </c>
      <c r="V29" s="89">
        <f>0</f>
        <v>0</v>
      </c>
      <c r="W29" s="89">
        <f t="shared" ref="W29:W31" si="35">SUM(N29:V29)</f>
        <v>64</v>
      </c>
      <c r="X29" s="86"/>
      <c r="Z29" s="84" t="s">
        <v>59</v>
      </c>
      <c r="AA29" s="105">
        <f>5+5+9+1+1-21</f>
        <v>0</v>
      </c>
      <c r="AB29" s="105">
        <f>22+22+20+6+1+1-1+1-72</f>
        <v>0</v>
      </c>
      <c r="AC29" s="105">
        <f>22+22+2+14+1+1-62</f>
        <v>0</v>
      </c>
      <c r="AD29" s="105">
        <f>22+22+5+20-3-1+1+1-1+3+1+1-71</f>
        <v>0</v>
      </c>
      <c r="AE29" s="105">
        <f>20+11+6-1+2+1-1-1+1+1-39</f>
        <v>0</v>
      </c>
      <c r="AF29" s="105">
        <f>16+14-1-29</f>
        <v>0</v>
      </c>
      <c r="AG29" s="105">
        <f>20+10+1+2-18-1</f>
        <v>14</v>
      </c>
      <c r="AH29" s="105">
        <f>7-1+1-7+1</f>
        <v>1</v>
      </c>
      <c r="AI29" s="105">
        <f>8-1+1-7+1</f>
        <v>2</v>
      </c>
      <c r="AJ29" s="89">
        <f t="shared" ref="AJ29:AJ31" si="36">SUM(AA29:AI29)</f>
        <v>17</v>
      </c>
      <c r="AK29" s="86"/>
    </row>
    <row r="30" ht="19.5" customHeight="1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10">
        <f>SUM(K28:K29)</f>
        <v>34</v>
      </c>
      <c r="M30" s="84" t="s">
        <v>60</v>
      </c>
      <c r="N30" s="89">
        <f>0+3-1</f>
        <v>2</v>
      </c>
      <c r="O30" s="89">
        <f>0+1+5-1+1-1+1-1+1-1+1</f>
        <v>6</v>
      </c>
      <c r="P30" s="89">
        <f>0+5-1+1-1-1-1+1+1-1+1+1-4+4-1+1+2-1+1</f>
        <v>7</v>
      </c>
      <c r="Q30" s="89">
        <f>0+5-1+1+1-3+3-1+1+1-1+1+1-1-2+1+2+1+1</f>
        <v>10</v>
      </c>
      <c r="R30" s="89">
        <f>0+3-1-2+1+2-1+1-1-1+1+2-1</f>
        <v>3</v>
      </c>
      <c r="S30" s="89">
        <f>0+1-1+1-1+2-1+1</f>
        <v>2</v>
      </c>
      <c r="T30" s="89">
        <f>0+1-1+1-1+1+1</f>
        <v>2</v>
      </c>
      <c r="U30" s="89">
        <f>0+2</f>
        <v>2</v>
      </c>
      <c r="V30" s="89">
        <f>0+1-1+1-1+1+1</f>
        <v>2</v>
      </c>
      <c r="W30" s="89">
        <f t="shared" si="35"/>
        <v>36</v>
      </c>
      <c r="X30" s="115"/>
      <c r="Y30" s="102" t="s">
        <v>58</v>
      </c>
      <c r="Z30" s="84" t="s">
        <v>60</v>
      </c>
      <c r="AA30" s="105">
        <f>0+5-1+1-1-1-1+1+1+1+1+1+1+1</f>
        <v>9</v>
      </c>
      <c r="AB30" s="105">
        <f>13+3+5</f>
        <v>21</v>
      </c>
      <c r="AC30" s="105">
        <f>17+13+3+1</f>
        <v>34</v>
      </c>
      <c r="AD30" s="105">
        <f>13+12+6+1+9</f>
        <v>41</v>
      </c>
      <c r="AE30" s="105">
        <f>11+7+1+10</f>
        <v>29</v>
      </c>
      <c r="AF30" s="105">
        <f>11+1+2-1+1</f>
        <v>14</v>
      </c>
      <c r="AG30" s="105">
        <f>14+1</f>
        <v>15</v>
      </c>
      <c r="AH30" s="89">
        <f>0+3-1+1-1+1-1</f>
        <v>2</v>
      </c>
      <c r="AI30" s="105">
        <f>4</f>
        <v>4</v>
      </c>
      <c r="AJ30" s="89">
        <f t="shared" si="36"/>
        <v>169</v>
      </c>
      <c r="AK30" s="115"/>
    </row>
    <row r="31" ht="19.5" customHeight="1">
      <c r="A31" s="111" t="s">
        <v>70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102" t="s">
        <v>58</v>
      </c>
      <c r="M31" s="84" t="s">
        <v>17</v>
      </c>
      <c r="N31" s="105">
        <f>0+2</f>
        <v>2</v>
      </c>
      <c r="O31" s="105">
        <f>0+4+2</f>
        <v>6</v>
      </c>
      <c r="P31" s="105">
        <f>0+2+2-1+1</f>
        <v>4</v>
      </c>
      <c r="Q31" s="105">
        <f>0+2+1+2-1-1+1</f>
        <v>4</v>
      </c>
      <c r="R31" s="89">
        <f>0+1+1</f>
        <v>2</v>
      </c>
      <c r="S31" s="105">
        <f>0+2+1+2-1-1</f>
        <v>3</v>
      </c>
      <c r="T31" s="105">
        <f>0+1+2+1</f>
        <v>4</v>
      </c>
      <c r="U31" s="89">
        <f>0+1+1</f>
        <v>2</v>
      </c>
      <c r="V31" s="89">
        <f>0+1</f>
        <v>1</v>
      </c>
      <c r="W31" s="89">
        <f t="shared" si="35"/>
        <v>28</v>
      </c>
      <c r="X31" s="116">
        <f>SUM(W31,W30,W29,W23,W22,W21)</f>
        <v>240</v>
      </c>
      <c r="Z31" s="84" t="s">
        <v>17</v>
      </c>
      <c r="AA31" s="105">
        <f>0+1+2+1+1-1-1+1</f>
        <v>4</v>
      </c>
      <c r="AB31" s="105">
        <f>0+1+2+1-1+1-1+1+1-1</f>
        <v>4</v>
      </c>
      <c r="AC31" s="105">
        <f>0+2-1+1+1-1+1-1+1+1-1+2+1-1-1</f>
        <v>4</v>
      </c>
      <c r="AD31" s="105">
        <f>0+1-1+1+2-1-1-1+1-1</f>
        <v>0</v>
      </c>
      <c r="AE31" s="89">
        <f>0+2-1-1+1+1-2+1</f>
        <v>1</v>
      </c>
      <c r="AF31" s="105">
        <f>0+1+2-1+1-2+3</f>
        <v>4</v>
      </c>
      <c r="AG31" s="89">
        <f>0+2</f>
        <v>2</v>
      </c>
      <c r="AH31" s="100">
        <f t="shared" ref="AH31:AI31" si="37">0+1+1-1</f>
        <v>1</v>
      </c>
      <c r="AI31" s="89">
        <f t="shared" si="37"/>
        <v>1</v>
      </c>
      <c r="AJ31" s="89">
        <f t="shared" si="36"/>
        <v>21</v>
      </c>
      <c r="AK31" s="118">
        <f>SUM(AJ21:AJ23,AJ29:AJ31)</f>
        <v>319</v>
      </c>
    </row>
    <row r="32" ht="19.5" customHeight="1">
      <c r="A32" s="81"/>
      <c r="B32" s="82" t="s">
        <v>2</v>
      </c>
      <c r="C32" s="50"/>
      <c r="D32" s="50"/>
      <c r="E32" s="50"/>
      <c r="F32" s="50"/>
      <c r="G32" s="50"/>
      <c r="H32" s="50"/>
      <c r="I32" s="50"/>
      <c r="J32" s="77"/>
      <c r="K32" s="114"/>
      <c r="T32" s="120">
        <v>1.0</v>
      </c>
      <c r="AJ32" s="99"/>
    </row>
    <row r="33" ht="19.5" customHeight="1">
      <c r="A33" s="81" t="s">
        <v>52</v>
      </c>
      <c r="B33" s="89">
        <v>28.0</v>
      </c>
      <c r="C33" s="89">
        <v>30.0</v>
      </c>
      <c r="D33" s="89">
        <v>32.0</v>
      </c>
      <c r="E33" s="89">
        <v>34.0</v>
      </c>
      <c r="F33" s="89">
        <v>36.0</v>
      </c>
      <c r="G33" s="89">
        <v>38.0</v>
      </c>
      <c r="H33" s="89">
        <v>40.0</v>
      </c>
      <c r="I33" s="89"/>
      <c r="J33" s="90"/>
      <c r="K33" s="114"/>
      <c r="M33" s="76" t="s">
        <v>71</v>
      </c>
      <c r="N33" s="50"/>
      <c r="O33" s="50"/>
      <c r="P33" s="50"/>
      <c r="Q33" s="50"/>
      <c r="R33" s="50"/>
      <c r="S33" s="50"/>
      <c r="T33" s="50"/>
      <c r="U33" s="50"/>
      <c r="V33" s="50"/>
      <c r="W33" s="77"/>
      <c r="X33" s="78" t="s">
        <v>49</v>
      </c>
      <c r="Z33" s="76" t="s">
        <v>72</v>
      </c>
      <c r="AA33" s="50"/>
      <c r="AB33" s="50"/>
      <c r="AC33" s="50"/>
      <c r="AD33" s="50"/>
      <c r="AE33" s="50"/>
      <c r="AF33" s="50"/>
      <c r="AG33" s="50"/>
      <c r="AH33" s="50"/>
      <c r="AI33" s="50"/>
      <c r="AJ33" s="77"/>
      <c r="AK33" s="78" t="s">
        <v>49</v>
      </c>
    </row>
    <row r="34" ht="19.5" customHeight="1">
      <c r="A34" s="81"/>
      <c r="B34" s="112" t="s">
        <v>4</v>
      </c>
      <c r="C34" s="112" t="s">
        <v>53</v>
      </c>
      <c r="D34" s="112" t="s">
        <v>54</v>
      </c>
      <c r="E34" s="112" t="s">
        <v>55</v>
      </c>
      <c r="F34" s="112" t="s">
        <v>56</v>
      </c>
      <c r="G34" s="112" t="s">
        <v>9</v>
      </c>
      <c r="H34" s="112" t="s">
        <v>10</v>
      </c>
      <c r="I34" s="112" t="s">
        <v>11</v>
      </c>
      <c r="J34" s="85" t="s">
        <v>12</v>
      </c>
      <c r="K34" s="119" t="s">
        <v>49</v>
      </c>
      <c r="M34" s="84"/>
      <c r="N34" s="82" t="s">
        <v>1</v>
      </c>
      <c r="O34" s="50"/>
      <c r="P34" s="50"/>
      <c r="Q34" s="50"/>
      <c r="R34" s="50"/>
      <c r="S34" s="50"/>
      <c r="T34" s="50"/>
      <c r="U34" s="50"/>
      <c r="V34" s="51"/>
      <c r="W34" s="85"/>
      <c r="X34" s="86"/>
      <c r="Z34" s="84"/>
      <c r="AA34" s="82" t="s">
        <v>1</v>
      </c>
      <c r="AB34" s="50"/>
      <c r="AC34" s="50"/>
      <c r="AD34" s="50"/>
      <c r="AE34" s="50"/>
      <c r="AF34" s="50"/>
      <c r="AG34" s="50"/>
      <c r="AH34" s="50"/>
      <c r="AI34" s="51"/>
      <c r="AJ34" s="87"/>
      <c r="AK34" s="86"/>
    </row>
    <row r="35" ht="19.5" customHeight="1">
      <c r="A35" s="84" t="s">
        <v>57</v>
      </c>
      <c r="B35" s="89">
        <f>0+1-1+1</f>
        <v>1</v>
      </c>
      <c r="C35" s="89">
        <f t="shared" ref="C35:D35" si="38">0+2-2+1</f>
        <v>1</v>
      </c>
      <c r="D35" s="89">
        <f t="shared" si="38"/>
        <v>1</v>
      </c>
      <c r="E35" s="89">
        <f>0+2-1+1-2+1</f>
        <v>1</v>
      </c>
      <c r="F35" s="89">
        <f>0+3-3+1</f>
        <v>1</v>
      </c>
      <c r="G35" s="89">
        <f>0+1</f>
        <v>1</v>
      </c>
      <c r="H35" s="89">
        <f>0+1-1+1</f>
        <v>1</v>
      </c>
      <c r="I35" s="89">
        <f t="shared" ref="I35:J35" si="39">0+1</f>
        <v>1</v>
      </c>
      <c r="J35" s="89">
        <f t="shared" si="39"/>
        <v>1</v>
      </c>
      <c r="K35" s="114">
        <f t="shared" ref="K35:K36" si="42">SUM(B35:J35)</f>
        <v>9</v>
      </c>
      <c r="M35" s="84" t="s">
        <v>52</v>
      </c>
      <c r="N35" s="89">
        <v>28.0</v>
      </c>
      <c r="O35" s="89">
        <v>30.0</v>
      </c>
      <c r="P35" s="89">
        <v>32.0</v>
      </c>
      <c r="Q35" s="89">
        <v>34.0</v>
      </c>
      <c r="R35" s="89">
        <v>36.0</v>
      </c>
      <c r="S35" s="89">
        <v>38.0</v>
      </c>
      <c r="T35" s="89">
        <v>40.0</v>
      </c>
      <c r="U35" s="89"/>
      <c r="V35" s="89"/>
      <c r="W35" s="90"/>
      <c r="X35" s="86"/>
      <c r="Z35" s="84" t="s">
        <v>52</v>
      </c>
      <c r="AA35" s="89">
        <v>28.0</v>
      </c>
      <c r="AB35" s="89">
        <v>30.0</v>
      </c>
      <c r="AC35" s="89">
        <v>32.0</v>
      </c>
      <c r="AD35" s="89">
        <v>34.0</v>
      </c>
      <c r="AE35" s="89">
        <v>36.0</v>
      </c>
      <c r="AF35" s="89">
        <v>38.0</v>
      </c>
      <c r="AG35" s="89">
        <v>40.0</v>
      </c>
      <c r="AH35" s="89"/>
      <c r="AI35" s="89"/>
      <c r="AJ35" s="87"/>
      <c r="AK35" s="86"/>
      <c r="AQ35" s="120" t="s">
        <v>73</v>
      </c>
    </row>
    <row r="36" ht="19.5" customHeight="1">
      <c r="A36" s="84" t="s">
        <v>69</v>
      </c>
      <c r="B36" s="89">
        <f t="shared" ref="B36:C36" si="40">0+1</f>
        <v>1</v>
      </c>
      <c r="C36" s="89">
        <f t="shared" si="40"/>
        <v>1</v>
      </c>
      <c r="D36" s="89">
        <f>0+5+3</f>
        <v>8</v>
      </c>
      <c r="E36" s="89">
        <f>0+1-1+1-1+1+1</f>
        <v>2</v>
      </c>
      <c r="F36" s="89">
        <f>0+3+1-1+1-1+1+1</f>
        <v>5</v>
      </c>
      <c r="G36" s="89">
        <f>0+3</f>
        <v>3</v>
      </c>
      <c r="H36" s="89">
        <f>0+2-1</f>
        <v>1</v>
      </c>
      <c r="I36" s="89">
        <f t="shared" ref="I36:J36" si="41">0</f>
        <v>0</v>
      </c>
      <c r="J36" s="89">
        <f t="shared" si="41"/>
        <v>0</v>
      </c>
      <c r="K36" s="114">
        <f t="shared" si="42"/>
        <v>21</v>
      </c>
      <c r="M36" s="84"/>
      <c r="N36" s="112" t="s">
        <v>4</v>
      </c>
      <c r="O36" s="112" t="s">
        <v>53</v>
      </c>
      <c r="P36" s="112" t="s">
        <v>54</v>
      </c>
      <c r="Q36" s="112" t="s">
        <v>55</v>
      </c>
      <c r="R36" s="112" t="s">
        <v>56</v>
      </c>
      <c r="S36" s="112" t="s">
        <v>9</v>
      </c>
      <c r="T36" s="112" t="s">
        <v>10</v>
      </c>
      <c r="U36" s="112" t="s">
        <v>11</v>
      </c>
      <c r="V36" s="112" t="s">
        <v>12</v>
      </c>
      <c r="W36" s="113" t="s">
        <v>49</v>
      </c>
      <c r="X36" s="86"/>
      <c r="Z36" s="84"/>
      <c r="AA36" s="112" t="s">
        <v>4</v>
      </c>
      <c r="AB36" s="112" t="s">
        <v>53</v>
      </c>
      <c r="AC36" s="112" t="s">
        <v>54</v>
      </c>
      <c r="AD36" s="126" t="s">
        <v>55</v>
      </c>
      <c r="AE36" s="112" t="s">
        <v>56</v>
      </c>
      <c r="AF36" s="112" t="s">
        <v>9</v>
      </c>
      <c r="AG36" s="112" t="s">
        <v>10</v>
      </c>
      <c r="AH36" s="112" t="s">
        <v>11</v>
      </c>
      <c r="AI36" s="112" t="s">
        <v>12</v>
      </c>
      <c r="AJ36" s="113" t="s">
        <v>49</v>
      </c>
      <c r="AK36" s="86"/>
    </row>
    <row r="37" ht="19.5" customHeight="1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5">
        <f>SUM(K35:K36)</f>
        <v>30</v>
      </c>
      <c r="L37" s="102" t="s">
        <v>58</v>
      </c>
      <c r="M37" s="84" t="s">
        <v>59</v>
      </c>
      <c r="N37" s="89">
        <f>0+2+2-1+1-2-1+1+1</f>
        <v>3</v>
      </c>
      <c r="O37" s="89">
        <f>0+2+6-1+1-1-1-1+1+3+1-1-1-1+1+2+1-1+1-4+4</f>
        <v>11</v>
      </c>
      <c r="P37" s="89">
        <f>0+1+8-1+1-1-1-2-1+1+2+1-1+1-1+4-1+1-1-1+1</f>
        <v>10</v>
      </c>
      <c r="Q37" s="89">
        <f>0+1+8-1+1-1-3+1+1-3-1+3+3+1-1-1+1+1-1+1+1+1-1+1</f>
        <v>12</v>
      </c>
      <c r="R37" s="89">
        <f>0+1+4-1+1-2-1+2+1-1+1-2-1+2-1+1+1-1+1</f>
        <v>5</v>
      </c>
      <c r="S37" s="89">
        <f>0+2+2-1+1-1-1+1+1+1-1+1+2-1</f>
        <v>6</v>
      </c>
      <c r="T37" s="89">
        <f>0+2+2-1+1</f>
        <v>4</v>
      </c>
      <c r="U37" s="89">
        <f>0+1+1</f>
        <v>2</v>
      </c>
      <c r="V37" s="89">
        <f>0+2+1</f>
        <v>3</v>
      </c>
      <c r="W37" s="90">
        <f t="shared" ref="W37:W43" si="43">SUM(N37:V37)</f>
        <v>56</v>
      </c>
      <c r="X37" s="86"/>
      <c r="Y37" s="102" t="s">
        <v>58</v>
      </c>
      <c r="Z37" s="84" t="s">
        <v>59</v>
      </c>
      <c r="AA37" s="105">
        <f>0+2+1</f>
        <v>3</v>
      </c>
      <c r="AB37" s="89">
        <f>0+1-1</f>
        <v>0</v>
      </c>
      <c r="AC37" s="89">
        <f>3</f>
        <v>3</v>
      </c>
      <c r="AD37" s="105">
        <f>0+1+1+1-1-1-1+1+1+1-1-1+1-1-1+1+2-1+1</f>
        <v>3</v>
      </c>
      <c r="AE37" s="89">
        <f>0+1-1+1-1+1-1+1-1+1</f>
        <v>1</v>
      </c>
      <c r="AF37" s="105">
        <f>0+2+1-1-1-1+3</f>
        <v>3</v>
      </c>
      <c r="AG37" s="89">
        <f>0+1+1-1-1+1+1-1+2-1</f>
        <v>2</v>
      </c>
      <c r="AH37" s="89">
        <f>0+1+1</f>
        <v>2</v>
      </c>
      <c r="AI37" s="89">
        <f>0+2</f>
        <v>2</v>
      </c>
      <c r="AJ37" s="89">
        <f t="shared" ref="AJ37:AJ40" si="44">SUM(AA37:AI37)</f>
        <v>19</v>
      </c>
      <c r="AK37" s="86"/>
    </row>
    <row r="38" ht="19.5" customHeight="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79"/>
      <c r="L38" s="102" t="s">
        <v>58</v>
      </c>
      <c r="M38" s="84" t="s">
        <v>60</v>
      </c>
      <c r="N38" s="89">
        <f>0+1+2+1-1+1-1</f>
        <v>3</v>
      </c>
      <c r="O38" s="89">
        <f>0+3+6-1-2+2-1</f>
        <v>7</v>
      </c>
      <c r="P38" s="89">
        <f>0+1+8-1+1+2-1-1-4+4-1</f>
        <v>8</v>
      </c>
      <c r="Q38" s="89">
        <f>0+1+8-1+1-1+3-1-1-1+1-1-1+1</f>
        <v>8</v>
      </c>
      <c r="R38" s="89">
        <f>0+1+1+4-1+1-1+1-1+1-2</f>
        <v>4</v>
      </c>
      <c r="S38" s="89">
        <f>0+2+2+1-1-1+1-1</f>
        <v>3</v>
      </c>
      <c r="T38" s="89">
        <f>0+1+1+2-2-1+1</f>
        <v>2</v>
      </c>
      <c r="U38" s="89">
        <f>0+2</f>
        <v>2</v>
      </c>
      <c r="V38" s="89">
        <f>0</f>
        <v>0</v>
      </c>
      <c r="W38" s="90">
        <f t="shared" si="43"/>
        <v>37</v>
      </c>
      <c r="X38" s="86"/>
      <c r="Y38" s="102" t="s">
        <v>58</v>
      </c>
      <c r="Z38" s="84" t="s">
        <v>60</v>
      </c>
      <c r="AA38" s="89">
        <f>0+1+1-1+1+1-1</f>
        <v>2</v>
      </c>
      <c r="AB38" s="105">
        <f>0+4+1+1+1+1+1-1-1+1+1-1+1+2-1-1+1</f>
        <v>10</v>
      </c>
      <c r="AC38" s="105">
        <f>0+1+1+1+1+1-1-1-1-1+1+1+1+2</f>
        <v>6</v>
      </c>
      <c r="AD38" s="105">
        <f>0+3+1+1+1+1-1+1+1-1-1+1+1+1+2-1+2-2+2-1</f>
        <v>11</v>
      </c>
      <c r="AE38" s="105">
        <f>0+4+1+1-1+1+1+1+1-1-1+1+1-1-1+1-1+1</f>
        <v>8</v>
      </c>
      <c r="AF38" s="89">
        <f>0+1+1+1+1-1-1+1+1-1+1-3-1</f>
        <v>0</v>
      </c>
      <c r="AG38" s="105">
        <f>0+1+1+1+1-1-1+1+1+1</f>
        <v>5</v>
      </c>
      <c r="AH38" s="105">
        <f>0+3+1-1</f>
        <v>3</v>
      </c>
      <c r="AI38" s="105">
        <f>0+2+1</f>
        <v>3</v>
      </c>
      <c r="AJ38" s="89">
        <f t="shared" si="44"/>
        <v>48</v>
      </c>
      <c r="AK38" s="86"/>
    </row>
    <row r="39" ht="19.5" customHeight="1">
      <c r="A39" s="111" t="s">
        <v>74</v>
      </c>
      <c r="B39" s="50"/>
      <c r="C39" s="50"/>
      <c r="D39" s="50"/>
      <c r="E39" s="50"/>
      <c r="F39" s="50"/>
      <c r="G39" s="50"/>
      <c r="H39" s="50"/>
      <c r="I39" s="50"/>
      <c r="J39" s="50"/>
      <c r="K39" s="51"/>
      <c r="M39" s="127" t="s">
        <v>43</v>
      </c>
      <c r="N39" s="128">
        <f>0+2+1</f>
        <v>3</v>
      </c>
      <c r="O39" s="128">
        <f t="shared" ref="O39:Q39" si="45">0+3-1+1</f>
        <v>3</v>
      </c>
      <c r="P39" s="128">
        <f t="shared" si="45"/>
        <v>3</v>
      </c>
      <c r="Q39" s="128">
        <f t="shared" si="45"/>
        <v>3</v>
      </c>
      <c r="R39" s="128">
        <f>0+1+2-1+1</f>
        <v>3</v>
      </c>
      <c r="S39" s="128">
        <f>0+2-1+1-1+1</f>
        <v>2</v>
      </c>
      <c r="T39" s="128">
        <f>0+1+1-1+1</f>
        <v>2</v>
      </c>
      <c r="U39" s="128">
        <f t="shared" ref="U39:V39" si="46">0+1-1+1</f>
        <v>1</v>
      </c>
      <c r="V39" s="128">
        <f t="shared" si="46"/>
        <v>1</v>
      </c>
      <c r="W39" s="129">
        <f t="shared" si="43"/>
        <v>21</v>
      </c>
      <c r="X39" s="86"/>
      <c r="Y39" s="102" t="s">
        <v>58</v>
      </c>
      <c r="Z39" s="84" t="s">
        <v>65</v>
      </c>
      <c r="AA39" s="89">
        <f t="shared" ref="AA39:AA40" si="49">0+1</f>
        <v>1</v>
      </c>
      <c r="AB39" s="89">
        <f t="shared" ref="AB39:AG39" si="47">0</f>
        <v>0</v>
      </c>
      <c r="AC39" s="89">
        <f t="shared" si="47"/>
        <v>0</v>
      </c>
      <c r="AD39" s="89">
        <f t="shared" si="47"/>
        <v>0</v>
      </c>
      <c r="AE39" s="89">
        <f t="shared" si="47"/>
        <v>0</v>
      </c>
      <c r="AF39" s="89">
        <f t="shared" si="47"/>
        <v>0</v>
      </c>
      <c r="AG39" s="89">
        <f t="shared" si="47"/>
        <v>0</v>
      </c>
      <c r="AH39" s="89">
        <f>0+2</f>
        <v>2</v>
      </c>
      <c r="AI39" s="89">
        <f>0</f>
        <v>0</v>
      </c>
      <c r="AJ39" s="89">
        <f t="shared" si="44"/>
        <v>3</v>
      </c>
      <c r="AK39" s="86"/>
    </row>
    <row r="40" ht="19.5" customHeight="1">
      <c r="A40" s="81"/>
      <c r="B40" s="82" t="s">
        <v>1</v>
      </c>
      <c r="C40" s="50"/>
      <c r="D40" s="50"/>
      <c r="E40" s="50"/>
      <c r="F40" s="50"/>
      <c r="G40" s="50"/>
      <c r="H40" s="50"/>
      <c r="I40" s="50"/>
      <c r="J40" s="51"/>
      <c r="K40" s="114"/>
      <c r="L40" s="102" t="s">
        <v>58</v>
      </c>
      <c r="M40" s="84" t="s">
        <v>75</v>
      </c>
      <c r="N40" s="89">
        <f>0+1</f>
        <v>1</v>
      </c>
      <c r="O40" s="89">
        <f t="shared" ref="O40:T40" si="48">0</f>
        <v>0</v>
      </c>
      <c r="P40" s="89">
        <f t="shared" si="48"/>
        <v>0</v>
      </c>
      <c r="Q40" s="89">
        <f t="shared" si="48"/>
        <v>0</v>
      </c>
      <c r="R40" s="89">
        <f t="shared" si="48"/>
        <v>0</v>
      </c>
      <c r="S40" s="89">
        <f t="shared" si="48"/>
        <v>0</v>
      </c>
      <c r="T40" s="89">
        <f t="shared" si="48"/>
        <v>0</v>
      </c>
      <c r="U40" s="89">
        <f>0+1</f>
        <v>1</v>
      </c>
      <c r="V40" s="89">
        <f>0</f>
        <v>0</v>
      </c>
      <c r="W40" s="90">
        <f t="shared" si="43"/>
        <v>2</v>
      </c>
      <c r="X40" s="86"/>
      <c r="Y40" s="102" t="s">
        <v>58</v>
      </c>
      <c r="Z40" s="84" t="s">
        <v>75</v>
      </c>
      <c r="AA40" s="89">
        <f t="shared" si="49"/>
        <v>1</v>
      </c>
      <c r="AB40" s="89">
        <f t="shared" ref="AB40:AG40" si="50">0</f>
        <v>0</v>
      </c>
      <c r="AC40" s="89">
        <f t="shared" si="50"/>
        <v>0</v>
      </c>
      <c r="AD40" s="89">
        <f t="shared" si="50"/>
        <v>0</v>
      </c>
      <c r="AE40" s="89">
        <f t="shared" si="50"/>
        <v>0</v>
      </c>
      <c r="AF40" s="89">
        <f t="shared" si="50"/>
        <v>0</v>
      </c>
      <c r="AG40" s="89">
        <f t="shared" si="50"/>
        <v>0</v>
      </c>
      <c r="AH40" s="89">
        <f t="shared" ref="AH40:AI40" si="51">0+1</f>
        <v>1</v>
      </c>
      <c r="AI40" s="89">
        <f t="shared" si="51"/>
        <v>1</v>
      </c>
      <c r="AJ40" s="89">
        <f t="shared" si="44"/>
        <v>3</v>
      </c>
      <c r="AK40" s="86"/>
    </row>
    <row r="41" ht="19.5" customHeight="1">
      <c r="A41" s="81" t="s">
        <v>52</v>
      </c>
      <c r="B41" s="89">
        <v>28.0</v>
      </c>
      <c r="C41" s="89">
        <v>30.0</v>
      </c>
      <c r="D41" s="89">
        <v>32.0</v>
      </c>
      <c r="E41" s="89">
        <v>34.0</v>
      </c>
      <c r="F41" s="89">
        <v>36.0</v>
      </c>
      <c r="G41" s="89">
        <v>38.0</v>
      </c>
      <c r="H41" s="89">
        <v>40.0</v>
      </c>
      <c r="I41" s="89"/>
      <c r="J41" s="89"/>
      <c r="K41" s="114"/>
      <c r="M41" s="84" t="s">
        <v>65</v>
      </c>
      <c r="N41" s="89">
        <f>0+1+2-1+1</f>
        <v>3</v>
      </c>
      <c r="O41" s="89">
        <f t="shared" ref="O41:P41" si="52">0+3</f>
        <v>3</v>
      </c>
      <c r="P41" s="89">
        <f t="shared" si="52"/>
        <v>3</v>
      </c>
      <c r="Q41" s="89">
        <f>0+1+3-2+2-3+3</f>
        <v>4</v>
      </c>
      <c r="R41" s="89">
        <f t="shared" ref="R41:S41" si="53">0+2</f>
        <v>2</v>
      </c>
      <c r="S41" s="89">
        <f t="shared" si="53"/>
        <v>2</v>
      </c>
      <c r="T41" s="89">
        <f t="shared" ref="T41:V41" si="54">0+1</f>
        <v>1</v>
      </c>
      <c r="U41" s="89">
        <f t="shared" si="54"/>
        <v>1</v>
      </c>
      <c r="V41" s="89">
        <f t="shared" si="54"/>
        <v>1</v>
      </c>
      <c r="W41" s="90">
        <f t="shared" si="43"/>
        <v>20</v>
      </c>
      <c r="X41" s="86"/>
      <c r="Z41" s="84"/>
      <c r="AA41" s="89"/>
      <c r="AB41" s="89"/>
      <c r="AC41" s="89"/>
      <c r="AD41" s="89"/>
      <c r="AE41" s="89"/>
      <c r="AF41" s="89"/>
      <c r="AG41" s="89"/>
      <c r="AH41" s="89"/>
      <c r="AI41" s="89"/>
      <c r="AJ41" s="87"/>
      <c r="AK41" s="86"/>
    </row>
    <row r="42" ht="19.5" customHeight="1">
      <c r="A42" s="81"/>
      <c r="B42" s="112" t="s">
        <v>4</v>
      </c>
      <c r="C42" s="112" t="s">
        <v>53</v>
      </c>
      <c r="D42" s="112" t="s">
        <v>54</v>
      </c>
      <c r="E42" s="112" t="s">
        <v>55</v>
      </c>
      <c r="F42" s="112" t="s">
        <v>56</v>
      </c>
      <c r="G42" s="112" t="s">
        <v>9</v>
      </c>
      <c r="H42" s="112" t="s">
        <v>10</v>
      </c>
      <c r="I42" s="112" t="s">
        <v>11</v>
      </c>
      <c r="J42" s="112" t="s">
        <v>12</v>
      </c>
      <c r="K42" s="119" t="s">
        <v>49</v>
      </c>
      <c r="M42" s="84" t="s">
        <v>76</v>
      </c>
      <c r="N42" s="89">
        <f>0+1+2</f>
        <v>3</v>
      </c>
      <c r="O42" s="89">
        <f t="shared" ref="O42:P42" si="55">0+3+1</f>
        <v>4</v>
      </c>
      <c r="P42" s="89">
        <f t="shared" si="55"/>
        <v>4</v>
      </c>
      <c r="Q42" s="89">
        <f>0+1+3+3+1</f>
        <v>8</v>
      </c>
      <c r="R42" s="89">
        <f t="shared" ref="R42:S42" si="56">0+2</f>
        <v>2</v>
      </c>
      <c r="S42" s="89">
        <f t="shared" si="56"/>
        <v>2</v>
      </c>
      <c r="T42" s="89">
        <f t="shared" ref="T42:V42" si="57">0+1</f>
        <v>1</v>
      </c>
      <c r="U42" s="89">
        <f t="shared" si="57"/>
        <v>1</v>
      </c>
      <c r="V42" s="89">
        <f t="shared" si="57"/>
        <v>1</v>
      </c>
      <c r="W42" s="90">
        <f t="shared" si="43"/>
        <v>26</v>
      </c>
      <c r="X42" s="86"/>
      <c r="Z42" s="84"/>
      <c r="AA42" s="89"/>
      <c r="AB42" s="89"/>
      <c r="AC42" s="89"/>
      <c r="AD42" s="89"/>
      <c r="AE42" s="89"/>
      <c r="AF42" s="89"/>
      <c r="AG42" s="89"/>
      <c r="AH42" s="89"/>
      <c r="AI42" s="89"/>
      <c r="AJ42" s="87"/>
      <c r="AK42" s="86"/>
    </row>
    <row r="43" ht="19.5" customHeight="1">
      <c r="A43" s="84" t="s">
        <v>57</v>
      </c>
      <c r="B43" s="89">
        <f>1+1-1-1+1-1+1+1</f>
        <v>2</v>
      </c>
      <c r="C43" s="89">
        <f>0+1-1+1-1+1+1+1-1+1+1</f>
        <v>4</v>
      </c>
      <c r="D43" s="89">
        <f>0+2-1+1-2+1</f>
        <v>1</v>
      </c>
      <c r="E43" s="89">
        <f>0+1-1+1+1-1+1-1+1-1+1+1-1-1+1-1+1+1+1</f>
        <v>4</v>
      </c>
      <c r="F43" s="89">
        <f>0+2-1+1-1-1+1+2-1+1+2+2+1</f>
        <v>8</v>
      </c>
      <c r="G43" s="89">
        <f t="shared" ref="G43:H43" si="58">0+2+1</f>
        <v>3</v>
      </c>
      <c r="H43" s="89">
        <f t="shared" si="58"/>
        <v>3</v>
      </c>
      <c r="I43" s="89">
        <f t="shared" ref="I43:J43" si="59">0+1</f>
        <v>1</v>
      </c>
      <c r="J43" s="89">
        <f t="shared" si="59"/>
        <v>1</v>
      </c>
      <c r="K43" s="114">
        <f t="shared" ref="K43:K47" si="61">SUM(B43:J43)</f>
        <v>27</v>
      </c>
      <c r="M43" s="84" t="s">
        <v>77</v>
      </c>
      <c r="N43" s="89">
        <f t="shared" ref="N43:V43" si="60">0</f>
        <v>0</v>
      </c>
      <c r="O43" s="89">
        <f t="shared" si="60"/>
        <v>0</v>
      </c>
      <c r="P43" s="89">
        <f t="shared" si="60"/>
        <v>0</v>
      </c>
      <c r="Q43" s="89">
        <f t="shared" si="60"/>
        <v>0</v>
      </c>
      <c r="R43" s="89">
        <f t="shared" si="60"/>
        <v>0</v>
      </c>
      <c r="S43" s="89">
        <f t="shared" si="60"/>
        <v>0</v>
      </c>
      <c r="T43" s="89">
        <f t="shared" si="60"/>
        <v>0</v>
      </c>
      <c r="U43" s="89">
        <f t="shared" si="60"/>
        <v>0</v>
      </c>
      <c r="V43" s="89">
        <f t="shared" si="60"/>
        <v>0</v>
      </c>
      <c r="W43" s="90">
        <f t="shared" si="43"/>
        <v>0</v>
      </c>
      <c r="X43" s="86"/>
      <c r="Z43" s="84"/>
      <c r="AA43" s="89"/>
      <c r="AB43" s="89"/>
      <c r="AC43" s="89"/>
      <c r="AD43" s="89"/>
      <c r="AE43" s="89"/>
      <c r="AF43" s="89"/>
      <c r="AG43" s="89"/>
      <c r="AH43" s="89"/>
      <c r="AI43" s="89"/>
      <c r="AJ43" s="87"/>
      <c r="AK43" s="86"/>
    </row>
    <row r="44" ht="19.5" customHeight="1">
      <c r="A44" s="106" t="s">
        <v>13</v>
      </c>
      <c r="B44" s="89">
        <f>0+1-1+1+1-1+1-1+1-1+1+1-2-1</f>
        <v>0</v>
      </c>
      <c r="C44" s="89">
        <f>0+1-1+1+1-1+1-2</f>
        <v>0</v>
      </c>
      <c r="D44" s="89">
        <f>0+1-1+1-1+1-1+1-1+1+1+1-2+1-1-1+1-1+1-1+1-1</f>
        <v>0</v>
      </c>
      <c r="E44" s="89">
        <f>0+1-1+1+1+1-1+1-1+1-1+1+1+2+1+1+1-5-1+1-3+1-1+1-1+1-2</f>
        <v>0</v>
      </c>
      <c r="F44" s="89">
        <f>0+2-2+2-1+1-1+1-2+2+2-1+1-3+1+1-1-1+1-2</f>
        <v>0</v>
      </c>
      <c r="G44" s="89">
        <f>0+4-1+1-1-2+1+1-3</f>
        <v>0</v>
      </c>
      <c r="H44" s="89">
        <f>0+1+2-1-1-1</f>
        <v>0</v>
      </c>
      <c r="I44" s="89">
        <f>0+1+5-5-1</f>
        <v>0</v>
      </c>
      <c r="J44" s="89">
        <f>0+1-1</f>
        <v>0</v>
      </c>
      <c r="K44" s="114">
        <f t="shared" si="61"/>
        <v>0</v>
      </c>
      <c r="X44" s="86"/>
      <c r="AK44" s="86"/>
    </row>
    <row r="45" ht="19.5" customHeight="1">
      <c r="A45" s="84" t="s">
        <v>14</v>
      </c>
      <c r="B45" s="89">
        <f>0+4-4</f>
        <v>0</v>
      </c>
      <c r="C45" s="89">
        <f>0+1-1+1+1-2+1+1-1+1+1-3</f>
        <v>0</v>
      </c>
      <c r="D45" s="89">
        <f>0+2+1-1-1+1+1-1-1-1+1+1+1+1+1-1+1+1-1-4+5+1-7</f>
        <v>0</v>
      </c>
      <c r="E45" s="89">
        <f>0+2-1+1+1-1-1+1-1+1+1-1+1-3</f>
        <v>0</v>
      </c>
      <c r="F45" s="89">
        <f>0+1-1+1-1+1-1+1+1-2</f>
        <v>0</v>
      </c>
      <c r="G45" s="89">
        <f>0+3-3+1-1+1-1</f>
        <v>0</v>
      </c>
      <c r="H45" s="89">
        <f>0+1-1+1-1</f>
        <v>0</v>
      </c>
      <c r="I45" s="89">
        <f t="shared" ref="I45:J45" si="62">0</f>
        <v>0</v>
      </c>
      <c r="J45" s="89">
        <f t="shared" si="62"/>
        <v>0</v>
      </c>
      <c r="K45" s="114">
        <f t="shared" si="61"/>
        <v>0</v>
      </c>
      <c r="M45" s="76" t="s">
        <v>71</v>
      </c>
      <c r="N45" s="50"/>
      <c r="O45" s="50"/>
      <c r="P45" s="50"/>
      <c r="Q45" s="50"/>
      <c r="R45" s="50"/>
      <c r="S45" s="50"/>
      <c r="T45" s="50"/>
      <c r="U45" s="50"/>
      <c r="V45" s="50"/>
      <c r="W45" s="77"/>
      <c r="X45" s="86"/>
      <c r="Z45" s="76" t="s">
        <v>72</v>
      </c>
      <c r="AA45" s="50"/>
      <c r="AB45" s="50"/>
      <c r="AC45" s="50"/>
      <c r="AD45" s="50"/>
      <c r="AE45" s="50"/>
      <c r="AF45" s="50"/>
      <c r="AG45" s="50"/>
      <c r="AH45" s="50"/>
      <c r="AI45" s="50"/>
      <c r="AJ45" s="77"/>
      <c r="AK45" s="86"/>
    </row>
    <row r="46" ht="19.5" customHeight="1">
      <c r="A46" s="106" t="s">
        <v>78</v>
      </c>
      <c r="B46" s="89">
        <f>0+1+1-1</f>
        <v>1</v>
      </c>
      <c r="C46" s="89">
        <f>0+1-1</f>
        <v>0</v>
      </c>
      <c r="D46" s="89">
        <f>0+1-1+2-1+3+1-1+1</f>
        <v>5</v>
      </c>
      <c r="E46" s="89">
        <f>0+1+1-1-1+1-1+1+1</f>
        <v>2</v>
      </c>
      <c r="F46" s="89">
        <f>0+1</f>
        <v>1</v>
      </c>
      <c r="G46" s="89">
        <f>0+2+1-1</f>
        <v>2</v>
      </c>
      <c r="H46" s="89">
        <f t="shared" ref="H46:J46" si="63">0</f>
        <v>0</v>
      </c>
      <c r="I46" s="89">
        <f t="shared" si="63"/>
        <v>0</v>
      </c>
      <c r="J46" s="89">
        <f t="shared" si="63"/>
        <v>0</v>
      </c>
      <c r="K46" s="114">
        <f t="shared" si="61"/>
        <v>11</v>
      </c>
      <c r="M46" s="107"/>
      <c r="N46" s="82" t="s">
        <v>2</v>
      </c>
      <c r="O46" s="50"/>
      <c r="P46" s="50"/>
      <c r="Q46" s="50"/>
      <c r="R46" s="50"/>
      <c r="S46" s="50"/>
      <c r="T46" s="50"/>
      <c r="U46" s="50"/>
      <c r="V46" s="51"/>
      <c r="W46" s="85"/>
      <c r="X46" s="86"/>
      <c r="Z46" s="107"/>
      <c r="AA46" s="82" t="s">
        <v>2</v>
      </c>
      <c r="AB46" s="50"/>
      <c r="AC46" s="50"/>
      <c r="AD46" s="50"/>
      <c r="AE46" s="50"/>
      <c r="AF46" s="50"/>
      <c r="AG46" s="50"/>
      <c r="AH46" s="50"/>
      <c r="AI46" s="51"/>
      <c r="AJ46" s="87"/>
      <c r="AK46" s="86"/>
    </row>
    <row r="47" ht="19.5" customHeight="1">
      <c r="A47" s="106" t="s">
        <v>17</v>
      </c>
      <c r="B47" s="89">
        <f t="shared" ref="B47:D47" si="64">0</f>
        <v>0</v>
      </c>
      <c r="C47" s="89">
        <f t="shared" si="64"/>
        <v>0</v>
      </c>
      <c r="D47" s="89">
        <f t="shared" si="64"/>
        <v>0</v>
      </c>
      <c r="E47" s="89">
        <f>0+2-1+1+1</f>
        <v>3</v>
      </c>
      <c r="F47" s="89">
        <f>0</f>
        <v>0</v>
      </c>
      <c r="G47" s="89">
        <f>0+1-1+1</f>
        <v>1</v>
      </c>
      <c r="H47" s="89">
        <f t="shared" ref="H47:J47" si="65">0</f>
        <v>0</v>
      </c>
      <c r="I47" s="89">
        <f t="shared" si="65"/>
        <v>0</v>
      </c>
      <c r="J47" s="89">
        <f t="shared" si="65"/>
        <v>0</v>
      </c>
      <c r="K47" s="114">
        <f t="shared" si="61"/>
        <v>4</v>
      </c>
      <c r="M47" s="84" t="s">
        <v>52</v>
      </c>
      <c r="N47" s="89">
        <v>28.0</v>
      </c>
      <c r="O47" s="89">
        <v>30.0</v>
      </c>
      <c r="P47" s="89">
        <v>32.0</v>
      </c>
      <c r="Q47" s="89">
        <v>34.0</v>
      </c>
      <c r="R47" s="89">
        <v>36.0</v>
      </c>
      <c r="S47" s="89">
        <v>38.0</v>
      </c>
      <c r="T47" s="89">
        <v>40.0</v>
      </c>
      <c r="U47" s="89"/>
      <c r="V47" s="89"/>
      <c r="W47" s="90"/>
      <c r="X47" s="86"/>
      <c r="Z47" s="84" t="s">
        <v>52</v>
      </c>
      <c r="AA47" s="89">
        <v>28.0</v>
      </c>
      <c r="AB47" s="89">
        <v>30.0</v>
      </c>
      <c r="AC47" s="89">
        <v>32.0</v>
      </c>
      <c r="AD47" s="89">
        <v>34.0</v>
      </c>
      <c r="AE47" s="89">
        <v>36.0</v>
      </c>
      <c r="AF47" s="89">
        <v>38.0</v>
      </c>
      <c r="AG47" s="89">
        <v>40.0</v>
      </c>
      <c r="AH47" s="89"/>
      <c r="AI47" s="89"/>
      <c r="AJ47" s="87"/>
      <c r="AK47" s="86"/>
    </row>
    <row r="48" ht="19.5" customHeight="1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10">
        <f>SUM(K43:K47)</f>
        <v>42</v>
      </c>
      <c r="M48" s="84"/>
      <c r="N48" s="112" t="s">
        <v>4</v>
      </c>
      <c r="O48" s="112" t="s">
        <v>53</v>
      </c>
      <c r="P48" s="112" t="s">
        <v>54</v>
      </c>
      <c r="Q48" s="112" t="s">
        <v>55</v>
      </c>
      <c r="R48" s="112" t="s">
        <v>56</v>
      </c>
      <c r="S48" s="112" t="s">
        <v>9</v>
      </c>
      <c r="T48" s="112" t="s">
        <v>10</v>
      </c>
      <c r="U48" s="112" t="s">
        <v>11</v>
      </c>
      <c r="V48" s="112" t="s">
        <v>12</v>
      </c>
      <c r="W48" s="113" t="s">
        <v>49</v>
      </c>
      <c r="X48" s="86"/>
      <c r="Z48" s="84"/>
      <c r="AA48" s="112" t="s">
        <v>4</v>
      </c>
      <c r="AB48" s="112" t="s">
        <v>53</v>
      </c>
      <c r="AC48" s="112" t="s">
        <v>54</v>
      </c>
      <c r="AD48" s="112" t="s">
        <v>55</v>
      </c>
      <c r="AE48" s="112" t="s">
        <v>56</v>
      </c>
      <c r="AF48" s="112" t="s">
        <v>9</v>
      </c>
      <c r="AG48" s="112" t="s">
        <v>10</v>
      </c>
      <c r="AH48" s="112" t="s">
        <v>11</v>
      </c>
      <c r="AI48" s="112" t="s">
        <v>12</v>
      </c>
      <c r="AJ48" s="113" t="s">
        <v>49</v>
      </c>
      <c r="AK48" s="86"/>
    </row>
    <row r="49" ht="19.5" customHeight="1">
      <c r="A49" s="111" t="s">
        <v>79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  <c r="L49" s="102" t="s">
        <v>58</v>
      </c>
      <c r="M49" s="84" t="s">
        <v>59</v>
      </c>
      <c r="N49" s="89">
        <f>0+2+5-1+1+1</f>
        <v>8</v>
      </c>
      <c r="O49" s="89">
        <f>0+3+10-1+1-2-1-1+1+1-1-1+1-2+1+1-2+1-1+2+2+1</f>
        <v>13</v>
      </c>
      <c r="P49" s="89">
        <f>0+3+1+15-1+1-2-3-1+3+4-1+1-1-1-3-1+1+3-5-1+2-4+5+1-2+1+1-1-2+3+1+2+2-1-4-1+1+4-2+1+1-1+1+1+1+1-1</f>
        <v>22</v>
      </c>
      <c r="Q49" s="89">
        <f>0+1+15-1-1+1+1-3-1-6+1-1+6+3+1-1-1-12+1+1+1+12-1+1-9-1-1-4+1-2-1+2-1+2-1-1+1+1-3+2-1+1</f>
        <v>2</v>
      </c>
      <c r="R49" s="89">
        <f>0+1+1+10-1+1-3+1-4-1+4+3+1-1-1-1-1+1+1+1+1-5+1+1-2+5-1-1-2-9+1+1</f>
        <v>2</v>
      </c>
      <c r="S49" s="89">
        <f>0+1+8-1+1-1-4-1+1-1+1+4+1-1-1+1-1+1+1-1+1-2+1+1-1-2+1+1-2+2+3-1+1+1</f>
        <v>12</v>
      </c>
      <c r="T49" s="89">
        <f>0+2+5-1-1+1+1-1+1+1+1+3+4-1-2+2+1-1+1+1</f>
        <v>17</v>
      </c>
      <c r="U49" s="89">
        <f>0+2+1-1+1-1-2</f>
        <v>0</v>
      </c>
      <c r="V49" s="89">
        <f>0+1+1-1-1</f>
        <v>0</v>
      </c>
      <c r="W49" s="90">
        <f t="shared" ref="W49:W55" si="66">SUM(N49:V49)</f>
        <v>76</v>
      </c>
      <c r="X49" s="86"/>
      <c r="Y49" s="102" t="s">
        <v>58</v>
      </c>
      <c r="Z49" s="84" t="s">
        <v>59</v>
      </c>
      <c r="AA49" s="105">
        <f>1+3</f>
        <v>4</v>
      </c>
      <c r="AB49" s="105">
        <f>0+3+1-1-1+2+1-1-1+1+1+1-1-1+1+10-1-4+1+1+1+2-1</f>
        <v>14</v>
      </c>
      <c r="AC49" s="105">
        <f>5+1-2+1+2</f>
        <v>7</v>
      </c>
      <c r="AD49" s="105">
        <f>8-1-4+2+4</f>
        <v>9</v>
      </c>
      <c r="AE49" s="89">
        <f>4+4</f>
        <v>8</v>
      </c>
      <c r="AF49" s="105">
        <f>0+1+1+1+1-1+1-1+1+1-1+1-5+1+3+1+1-1-1+1+1</f>
        <v>6</v>
      </c>
      <c r="AG49" s="105">
        <f>0+1+1-1+1+1+1-1-1+1-2+2-1+1+3+1-1+1-1+2-2+2+1</f>
        <v>9</v>
      </c>
      <c r="AH49" s="89">
        <f>0+1+1-1+1-1+1-1-1+1</f>
        <v>1</v>
      </c>
      <c r="AI49" s="89">
        <f>0+1+1-1+1-1+1</f>
        <v>2</v>
      </c>
      <c r="AJ49" s="89">
        <f t="shared" ref="AJ49:AJ52" si="68">SUM(AA49:AI49)</f>
        <v>60</v>
      </c>
      <c r="AK49" s="86"/>
    </row>
    <row r="50" ht="19.5" customHeight="1">
      <c r="A50" s="81"/>
      <c r="B50" s="82" t="s">
        <v>2</v>
      </c>
      <c r="C50" s="50"/>
      <c r="D50" s="50"/>
      <c r="E50" s="50"/>
      <c r="F50" s="50"/>
      <c r="G50" s="50"/>
      <c r="H50" s="50"/>
      <c r="I50" s="50"/>
      <c r="J50" s="77"/>
      <c r="K50" s="114"/>
      <c r="L50" s="102" t="s">
        <v>58</v>
      </c>
      <c r="M50" s="84" t="s">
        <v>60</v>
      </c>
      <c r="N50" s="89">
        <f>0+2+5-1</f>
        <v>6</v>
      </c>
      <c r="O50" s="89">
        <f>0+1+10-1-4+4</f>
        <v>10</v>
      </c>
      <c r="P50" s="89">
        <f>0+1+15-1+1-1-2+1+3-1-5+5+1-1-9+9</f>
        <v>16</v>
      </c>
      <c r="Q50" s="89">
        <f>0+15-1+1-1+1-1-3+1+1-1+4+1-1-2+1+2-1+1-6+6-1+1</f>
        <v>17</v>
      </c>
      <c r="R50" s="89">
        <f>0+1+1+10+1-1-1-1-1+1+1-3+3+1-1+1-1+1+1-5+5</f>
        <v>13</v>
      </c>
      <c r="S50" s="89">
        <f>0+2+8-1-1+1+1+1-1-3+3</f>
        <v>10</v>
      </c>
      <c r="T50" s="89">
        <f>0+1+5-1+1</f>
        <v>6</v>
      </c>
      <c r="U50" s="89">
        <f>0+1+1</f>
        <v>2</v>
      </c>
      <c r="V50" s="89">
        <f>0+2+1-1+1</f>
        <v>3</v>
      </c>
      <c r="W50" s="90">
        <f t="shared" si="66"/>
        <v>83</v>
      </c>
      <c r="X50" s="86"/>
      <c r="Y50" s="102" t="s">
        <v>58</v>
      </c>
      <c r="Z50" s="84" t="s">
        <v>60</v>
      </c>
      <c r="AA50" s="105">
        <f>0+4-1+1+2-1+2+1+2-1</f>
        <v>9</v>
      </c>
      <c r="AB50" s="105">
        <f>0+4-1-1+1+1+1+1-1-4+4-1-1+5-1+1+1+3-1+3-1</f>
        <v>13</v>
      </c>
      <c r="AC50" s="105">
        <f>0+1+1-1-1+1+1+1+1+1-2+2-1-1+1+1+1-1-1-2-2+1+1+5+4-1-1+1-2-2+1+1-1+3-1</f>
        <v>9</v>
      </c>
      <c r="AD50" s="105">
        <f>0+1-1+1-1+1-1+1+1+1+1-1+1+1-2-2-1+1</f>
        <v>1</v>
      </c>
      <c r="AE50" s="105">
        <f>0+2-1-1+1+1-1-1+1+3-2+2+1-1-1+1-4</f>
        <v>0</v>
      </c>
      <c r="AF50" s="89">
        <f>0+2-1-1+2+1+1-1-1-1-1+1+1+1-2+3-2-1+1-1</f>
        <v>1</v>
      </c>
      <c r="AG50" s="105">
        <f>0+3-1-1+1-1+1+1+1-1+2+2-3-1+1+3</f>
        <v>7</v>
      </c>
      <c r="AH50" s="105">
        <f t="shared" ref="AH50:AI50" si="67">0+2-1+1+1+1</f>
        <v>4</v>
      </c>
      <c r="AI50" s="105">
        <f t="shared" si="67"/>
        <v>4</v>
      </c>
      <c r="AJ50" s="89">
        <f t="shared" si="68"/>
        <v>48</v>
      </c>
      <c r="AK50" s="86"/>
    </row>
    <row r="51" ht="19.5" customHeight="1">
      <c r="A51" s="81" t="s">
        <v>52</v>
      </c>
      <c r="B51" s="89">
        <v>28.0</v>
      </c>
      <c r="C51" s="89">
        <v>30.0</v>
      </c>
      <c r="D51" s="89">
        <v>32.0</v>
      </c>
      <c r="E51" s="89">
        <v>34.0</v>
      </c>
      <c r="F51" s="89">
        <v>36.0</v>
      </c>
      <c r="G51" s="89">
        <v>38.0</v>
      </c>
      <c r="H51" s="89">
        <v>40.0</v>
      </c>
      <c r="I51" s="89"/>
      <c r="J51" s="90"/>
      <c r="K51" s="114"/>
      <c r="L51" s="102" t="s">
        <v>58</v>
      </c>
      <c r="M51" s="127" t="s">
        <v>43</v>
      </c>
      <c r="N51" s="128">
        <f>0+2</f>
        <v>2</v>
      </c>
      <c r="O51" s="128">
        <f>0+1+3-1-1+1-3+3+1</f>
        <v>4</v>
      </c>
      <c r="P51" s="128">
        <f>0+1+5-1-1+1+1-4+4</f>
        <v>6</v>
      </c>
      <c r="Q51" s="128">
        <f>0+1-1+1+3-1+1-4+4+1</f>
        <v>5</v>
      </c>
      <c r="R51" s="128">
        <f>0+3-1+1-1+1-1+1+1</f>
        <v>4</v>
      </c>
      <c r="S51" s="128">
        <f>3-2-1+1-1+1-1+1</f>
        <v>1</v>
      </c>
      <c r="T51" s="128">
        <f>0+2-1-1+1+1-1+1</f>
        <v>2</v>
      </c>
      <c r="U51" s="128">
        <f t="shared" ref="U51:V51" si="69">0+1-1+1</f>
        <v>1</v>
      </c>
      <c r="V51" s="128">
        <f t="shared" si="69"/>
        <v>1</v>
      </c>
      <c r="W51" s="130">
        <f t="shared" si="66"/>
        <v>26</v>
      </c>
      <c r="X51" s="86"/>
      <c r="Y51" s="102" t="s">
        <v>58</v>
      </c>
      <c r="Z51" s="84" t="s">
        <v>17</v>
      </c>
      <c r="AA51" s="89">
        <f t="shared" ref="AA51:AC51" si="70">0</f>
        <v>0</v>
      </c>
      <c r="AB51" s="89">
        <f t="shared" si="70"/>
        <v>0</v>
      </c>
      <c r="AC51" s="89">
        <f t="shared" si="70"/>
        <v>0</v>
      </c>
      <c r="AD51" s="89">
        <f>0+1-1+1-1+1-1</f>
        <v>0</v>
      </c>
      <c r="AE51" s="89">
        <f>0</f>
        <v>0</v>
      </c>
      <c r="AF51" s="89">
        <f>0+1-1</f>
        <v>0</v>
      </c>
      <c r="AG51" s="89">
        <f>0+1</f>
        <v>1</v>
      </c>
      <c r="AH51" s="89">
        <f t="shared" ref="AH51:AI51" si="71">0</f>
        <v>0</v>
      </c>
      <c r="AI51" s="89">
        <f t="shared" si="71"/>
        <v>0</v>
      </c>
      <c r="AJ51" s="89">
        <f t="shared" si="68"/>
        <v>1</v>
      </c>
      <c r="AK51" s="86"/>
    </row>
    <row r="52" ht="19.5" customHeight="1">
      <c r="A52" s="81"/>
      <c r="B52" s="112" t="s">
        <v>4</v>
      </c>
      <c r="C52" s="112" t="s">
        <v>53</v>
      </c>
      <c r="D52" s="112" t="s">
        <v>54</v>
      </c>
      <c r="E52" s="112" t="s">
        <v>55</v>
      </c>
      <c r="F52" s="112" t="s">
        <v>56</v>
      </c>
      <c r="G52" s="112" t="s">
        <v>9</v>
      </c>
      <c r="H52" s="112" t="s">
        <v>10</v>
      </c>
      <c r="I52" s="112" t="s">
        <v>11</v>
      </c>
      <c r="J52" s="85" t="s">
        <v>12</v>
      </c>
      <c r="K52" s="119" t="s">
        <v>49</v>
      </c>
      <c r="M52" s="84" t="s">
        <v>75</v>
      </c>
      <c r="N52" s="89">
        <f>0</f>
        <v>0</v>
      </c>
      <c r="O52" s="89">
        <f>0+1</f>
        <v>1</v>
      </c>
      <c r="P52" s="89">
        <f t="shared" ref="P52:V52" si="72">0</f>
        <v>0</v>
      </c>
      <c r="Q52" s="89">
        <f t="shared" si="72"/>
        <v>0</v>
      </c>
      <c r="R52" s="89">
        <f t="shared" si="72"/>
        <v>0</v>
      </c>
      <c r="S52" s="89">
        <f t="shared" si="72"/>
        <v>0</v>
      </c>
      <c r="T52" s="89">
        <f t="shared" si="72"/>
        <v>0</v>
      </c>
      <c r="U52" s="89">
        <f t="shared" si="72"/>
        <v>0</v>
      </c>
      <c r="V52" s="89">
        <f t="shared" si="72"/>
        <v>0</v>
      </c>
      <c r="W52" s="90">
        <f t="shared" si="66"/>
        <v>1</v>
      </c>
      <c r="X52" s="86"/>
      <c r="Y52" s="102" t="s">
        <v>58</v>
      </c>
      <c r="Z52" s="131" t="s">
        <v>75</v>
      </c>
      <c r="AA52" s="89">
        <f>0+1</f>
        <v>1</v>
      </c>
      <c r="AB52" s="89">
        <f>0</f>
        <v>0</v>
      </c>
      <c r="AC52" s="89">
        <f>0+1-1+1</f>
        <v>1</v>
      </c>
      <c r="AD52" s="89">
        <f t="shared" ref="AD52:AI52" si="73">0</f>
        <v>0</v>
      </c>
      <c r="AE52" s="89">
        <f t="shared" si="73"/>
        <v>0</v>
      </c>
      <c r="AF52" s="89">
        <f t="shared" si="73"/>
        <v>0</v>
      </c>
      <c r="AG52" s="89">
        <f t="shared" si="73"/>
        <v>0</v>
      </c>
      <c r="AH52" s="89">
        <f t="shared" si="73"/>
        <v>0</v>
      </c>
      <c r="AI52" s="89">
        <f t="shared" si="73"/>
        <v>0</v>
      </c>
      <c r="AJ52" s="89">
        <f t="shared" si="68"/>
        <v>2</v>
      </c>
      <c r="AK52" s="86"/>
    </row>
    <row r="53" ht="19.5" customHeight="1">
      <c r="A53" s="84" t="s">
        <v>57</v>
      </c>
      <c r="B53" s="89">
        <f>0+1-1+1+1-1+1+1</f>
        <v>3</v>
      </c>
      <c r="C53" s="89">
        <f>0+6+5-1+5-1-2+2-1+1+1</f>
        <v>15</v>
      </c>
      <c r="D53" s="89">
        <f>0+5-1+1-1+1+7-1-2+1+1+2-1+1+2-2-2-1+1-1+1-1-1+1+1+1</f>
        <v>12</v>
      </c>
      <c r="E53" s="89">
        <f>0+1-1+1-1+1+1-2+2-2+2-2+2-1+1+1</f>
        <v>3</v>
      </c>
      <c r="F53" s="89">
        <f>0+2-1+1+1-1+1+1-1-1+1+1+6-1+1-1+1+1</f>
        <v>11</v>
      </c>
      <c r="G53" s="89">
        <f>0+3-1+1-1+1+1</f>
        <v>4</v>
      </c>
      <c r="H53" s="89">
        <f>0+2+1</f>
        <v>3</v>
      </c>
      <c r="I53" s="89">
        <f t="shared" ref="I53:J53" si="74">0+1</f>
        <v>1</v>
      </c>
      <c r="J53" s="89">
        <f t="shared" si="74"/>
        <v>1</v>
      </c>
      <c r="K53" s="114">
        <f t="shared" ref="K53:K57" si="76">SUM(B53:J53)</f>
        <v>53</v>
      </c>
      <c r="M53" s="84" t="s">
        <v>17</v>
      </c>
      <c r="N53" s="89">
        <f>0+2</f>
        <v>2</v>
      </c>
      <c r="O53" s="89">
        <f>0+3</f>
        <v>3</v>
      </c>
      <c r="P53" s="89">
        <f>0+2+5</f>
        <v>7</v>
      </c>
      <c r="Q53" s="89">
        <f>0+5</f>
        <v>5</v>
      </c>
      <c r="R53" s="89">
        <f>0+3</f>
        <v>3</v>
      </c>
      <c r="S53" s="89">
        <f>0+2+1-1</f>
        <v>2</v>
      </c>
      <c r="T53" s="89">
        <f>0+2</f>
        <v>2</v>
      </c>
      <c r="U53" s="89">
        <f t="shared" ref="U53:V53" si="75">0+1</f>
        <v>1</v>
      </c>
      <c r="V53" s="89">
        <f t="shared" si="75"/>
        <v>1</v>
      </c>
      <c r="W53" s="90">
        <f t="shared" si="66"/>
        <v>26</v>
      </c>
      <c r="X53" s="86"/>
      <c r="Z53" s="84"/>
      <c r="AA53" s="89"/>
      <c r="AB53" s="89"/>
      <c r="AC53" s="89"/>
      <c r="AD53" s="89"/>
      <c r="AE53" s="89"/>
      <c r="AF53" s="89"/>
      <c r="AG53" s="89"/>
      <c r="AH53" s="89"/>
      <c r="AI53" s="89"/>
      <c r="AJ53" s="87"/>
      <c r="AK53" s="86"/>
    </row>
    <row r="54" ht="19.5" customHeight="1">
      <c r="A54" s="106" t="s">
        <v>13</v>
      </c>
      <c r="B54" s="89">
        <f>0+1-1+1+1-1-1+1-1+1</f>
        <v>1</v>
      </c>
      <c r="C54" s="89">
        <f>0+1+1+5+1-1+1-1+2-3+1-1-1+1-4-1-1</f>
        <v>0</v>
      </c>
      <c r="D54" s="89">
        <f>0+1-1+1-1+2+1+3-1-1+1-1-1-1+1+1+3-7+1-1+1-1</f>
        <v>0</v>
      </c>
      <c r="E54" s="89">
        <f>0+1+1-1-1+1+1-1-1+1+1+5-2+1-1+1-4-1-1</f>
        <v>0</v>
      </c>
      <c r="F54" s="89">
        <f>0+6-1-1+1+3-2-5+1+1+4+1-6-1+1-1+1-1-1+1-1</f>
        <v>0</v>
      </c>
      <c r="G54" s="89">
        <f>0+2-1-1+1-1+1+1+1-1-1+1-1-1</f>
        <v>0</v>
      </c>
      <c r="H54" s="89">
        <f>0+2+1+1-1+2+7+1+1+1-12+1+1-5</f>
        <v>0</v>
      </c>
      <c r="I54" s="89">
        <f>0+1+2+5-6-1+1+1+1+1-5</f>
        <v>0</v>
      </c>
      <c r="J54" s="89">
        <f>0+2+1+2-2-2-1</f>
        <v>0</v>
      </c>
      <c r="K54" s="114">
        <f t="shared" si="76"/>
        <v>1</v>
      </c>
      <c r="M54" s="84" t="s">
        <v>76</v>
      </c>
      <c r="N54" s="89">
        <f>0+2</f>
        <v>2</v>
      </c>
      <c r="O54" s="89">
        <f>0+1+3-3+3+1</f>
        <v>5</v>
      </c>
      <c r="P54" s="89">
        <f>0+1+5+3</f>
        <v>9</v>
      </c>
      <c r="Q54" s="89">
        <f>0+5-5+5-1+1+1</f>
        <v>6</v>
      </c>
      <c r="R54" s="89">
        <f>0+3</f>
        <v>3</v>
      </c>
      <c r="S54" s="89">
        <f t="shared" ref="S54:T54" si="77">0+2</f>
        <v>2</v>
      </c>
      <c r="T54" s="89">
        <f t="shared" si="77"/>
        <v>2</v>
      </c>
      <c r="U54" s="89">
        <f t="shared" ref="U54:V54" si="78">0+1</f>
        <v>1</v>
      </c>
      <c r="V54" s="89">
        <f t="shared" si="78"/>
        <v>1</v>
      </c>
      <c r="W54" s="90">
        <f t="shared" si="66"/>
        <v>31</v>
      </c>
      <c r="X54" s="115"/>
      <c r="Z54" s="84"/>
      <c r="AA54" s="89"/>
      <c r="AB54" s="89"/>
      <c r="AC54" s="89"/>
      <c r="AD54" s="89"/>
      <c r="AE54" s="89"/>
      <c r="AF54" s="89"/>
      <c r="AG54" s="89"/>
      <c r="AH54" s="89"/>
      <c r="AI54" s="89"/>
      <c r="AJ54" s="87"/>
      <c r="AK54" s="115"/>
    </row>
    <row r="55" ht="19.5" customHeight="1">
      <c r="A55" s="84" t="s">
        <v>14</v>
      </c>
      <c r="B55" s="89">
        <f>0+2-2</f>
        <v>0</v>
      </c>
      <c r="C55" s="89">
        <f>0+1+1-1+1-1+1+1+1-4</f>
        <v>0</v>
      </c>
      <c r="D55" s="89">
        <f>0+2-1+1+3-1-1+1-1+1+1+1-6</f>
        <v>0</v>
      </c>
      <c r="E55" s="89">
        <f>0+1+1-1+1-1+1+1+1-1+1+1+1-1+1-1+1-1-3+3+1-6</f>
        <v>0</v>
      </c>
      <c r="F55" s="89">
        <f>0+1-1+1-1+1-1+2+1-1-1+1-1+1+1+1-1+1-1-3</f>
        <v>0</v>
      </c>
      <c r="G55" s="89">
        <f>0+7-1-1-1+1+1+1-1-1-5</f>
        <v>0</v>
      </c>
      <c r="H55" s="89">
        <f>0+3+1+2-1+1-1+1-1+1-6</f>
        <v>0</v>
      </c>
      <c r="I55" s="89">
        <f>0+1+1-1-1</f>
        <v>0</v>
      </c>
      <c r="J55" s="89">
        <f>0+3+1-3+2-3</f>
        <v>0</v>
      </c>
      <c r="K55" s="114">
        <f t="shared" si="76"/>
        <v>0</v>
      </c>
      <c r="M55" s="84" t="s">
        <v>77</v>
      </c>
      <c r="N55" s="89">
        <f t="shared" ref="N55:V55" si="79">0</f>
        <v>0</v>
      </c>
      <c r="O55" s="89">
        <f t="shared" si="79"/>
        <v>0</v>
      </c>
      <c r="P55" s="89">
        <f t="shared" si="79"/>
        <v>0</v>
      </c>
      <c r="Q55" s="89">
        <f t="shared" si="79"/>
        <v>0</v>
      </c>
      <c r="R55" s="89">
        <f t="shared" si="79"/>
        <v>0</v>
      </c>
      <c r="S55" s="89">
        <f t="shared" si="79"/>
        <v>0</v>
      </c>
      <c r="T55" s="89">
        <f t="shared" si="79"/>
        <v>0</v>
      </c>
      <c r="U55" s="89">
        <f t="shared" si="79"/>
        <v>0</v>
      </c>
      <c r="V55" s="89">
        <f t="shared" si="79"/>
        <v>0</v>
      </c>
      <c r="W55" s="90">
        <f t="shared" si="66"/>
        <v>0</v>
      </c>
      <c r="X55" s="116">
        <f>SUM(W37:W43,W49:W55)</f>
        <v>405</v>
      </c>
      <c r="Z55" s="84"/>
      <c r="AA55" s="89"/>
      <c r="AB55" s="89"/>
      <c r="AC55" s="89"/>
      <c r="AD55" s="89"/>
      <c r="AE55" s="89"/>
      <c r="AF55" s="89"/>
      <c r="AG55" s="89"/>
      <c r="AH55" s="89"/>
      <c r="AI55" s="89"/>
      <c r="AJ55" s="87"/>
      <c r="AK55" s="118">
        <f>SUM(AJ37:AJ43,AJ49:AJ55)</f>
        <v>184</v>
      </c>
    </row>
    <row r="56" ht="19.5" customHeight="1">
      <c r="A56" s="106" t="s">
        <v>78</v>
      </c>
      <c r="B56" s="89">
        <f t="shared" ref="B56:B57" si="81">0</f>
        <v>0</v>
      </c>
      <c r="C56" s="89">
        <f>0+1-1+1</f>
        <v>1</v>
      </c>
      <c r="D56" s="89">
        <f>0+2-1+1-2+2+2-2</f>
        <v>2</v>
      </c>
      <c r="E56" s="89">
        <f>0+1+1-2+2</f>
        <v>2</v>
      </c>
      <c r="F56" s="89">
        <f>0+1-1+1</f>
        <v>1</v>
      </c>
      <c r="G56" s="89">
        <f t="shared" ref="G56:J56" si="80">0</f>
        <v>0</v>
      </c>
      <c r="H56" s="89">
        <f t="shared" si="80"/>
        <v>0</v>
      </c>
      <c r="I56" s="89">
        <f t="shared" si="80"/>
        <v>0</v>
      </c>
      <c r="J56" s="89">
        <f t="shared" si="80"/>
        <v>0</v>
      </c>
      <c r="K56" s="114">
        <f t="shared" si="76"/>
        <v>6</v>
      </c>
    </row>
    <row r="57" ht="19.5" customHeight="1">
      <c r="A57" s="106" t="s">
        <v>17</v>
      </c>
      <c r="B57" s="89">
        <f t="shared" si="81"/>
        <v>0</v>
      </c>
      <c r="C57" s="89">
        <f t="shared" ref="C57:E57" si="82">0</f>
        <v>0</v>
      </c>
      <c r="D57" s="89">
        <f t="shared" si="82"/>
        <v>0</v>
      </c>
      <c r="E57" s="89">
        <f t="shared" si="82"/>
        <v>0</v>
      </c>
      <c r="F57" s="89">
        <f>0+1-1</f>
        <v>0</v>
      </c>
      <c r="G57" s="89">
        <f>0+2</f>
        <v>2</v>
      </c>
      <c r="H57" s="89">
        <f t="shared" ref="H57:I57" si="83">0+1</f>
        <v>1</v>
      </c>
      <c r="I57" s="89">
        <f t="shared" si="83"/>
        <v>1</v>
      </c>
      <c r="J57" s="89">
        <f>0</f>
        <v>0</v>
      </c>
      <c r="K57" s="114">
        <f t="shared" si="76"/>
        <v>4</v>
      </c>
      <c r="M57" s="76" t="s">
        <v>80</v>
      </c>
      <c r="N57" s="50"/>
      <c r="O57" s="50"/>
      <c r="P57" s="50"/>
      <c r="Q57" s="50"/>
      <c r="R57" s="50"/>
      <c r="S57" s="50"/>
      <c r="T57" s="50"/>
      <c r="U57" s="50"/>
      <c r="V57" s="50"/>
      <c r="W57" s="77"/>
      <c r="X57" s="78" t="s">
        <v>49</v>
      </c>
      <c r="Z57" s="76" t="s">
        <v>81</v>
      </c>
      <c r="AA57" s="50"/>
      <c r="AB57" s="50"/>
      <c r="AC57" s="50"/>
      <c r="AD57" s="50"/>
      <c r="AE57" s="50"/>
      <c r="AF57" s="50"/>
      <c r="AG57" s="50"/>
      <c r="AH57" s="50"/>
      <c r="AI57" s="50"/>
      <c r="AJ57" s="77"/>
      <c r="AK57" s="78" t="s">
        <v>49</v>
      </c>
    </row>
    <row r="58" ht="19.5" customHeight="1">
      <c r="A58" s="122"/>
      <c r="B58" s="109"/>
      <c r="C58" s="109"/>
      <c r="D58" s="109"/>
      <c r="E58" s="109"/>
      <c r="F58" s="109"/>
      <c r="G58" s="109"/>
      <c r="H58" s="109"/>
      <c r="I58" s="109"/>
      <c r="J58" s="109"/>
      <c r="K58" s="105">
        <f>SUM(K53:K57)</f>
        <v>64</v>
      </c>
      <c r="M58" s="84"/>
      <c r="N58" s="82" t="s">
        <v>1</v>
      </c>
      <c r="O58" s="50"/>
      <c r="P58" s="50"/>
      <c r="Q58" s="50"/>
      <c r="R58" s="50"/>
      <c r="S58" s="50"/>
      <c r="T58" s="50"/>
      <c r="U58" s="50"/>
      <c r="V58" s="51"/>
      <c r="W58" s="85"/>
      <c r="X58" s="86"/>
      <c r="Z58" s="84"/>
      <c r="AA58" s="82" t="s">
        <v>1</v>
      </c>
      <c r="AB58" s="50"/>
      <c r="AC58" s="50"/>
      <c r="AD58" s="50"/>
      <c r="AE58" s="50"/>
      <c r="AF58" s="50"/>
      <c r="AG58" s="50"/>
      <c r="AH58" s="50"/>
      <c r="AI58" s="51"/>
      <c r="AJ58" s="87"/>
      <c r="AK58" s="86"/>
    </row>
    <row r="59" ht="19.5" customHeight="1">
      <c r="A59" s="108"/>
      <c r="B59" s="109"/>
      <c r="C59" s="109"/>
      <c r="D59" s="109"/>
      <c r="E59" s="109"/>
      <c r="F59" s="109"/>
      <c r="G59" s="109"/>
      <c r="H59" s="109"/>
      <c r="I59" s="109"/>
      <c r="J59" s="109"/>
      <c r="K59" s="79"/>
      <c r="M59" s="84" t="s">
        <v>52</v>
      </c>
      <c r="N59" s="89">
        <v>28.0</v>
      </c>
      <c r="O59" s="89">
        <v>30.0</v>
      </c>
      <c r="P59" s="89">
        <v>32.0</v>
      </c>
      <c r="Q59" s="89">
        <v>34.0</v>
      </c>
      <c r="R59" s="89">
        <v>36.0</v>
      </c>
      <c r="S59" s="89">
        <v>38.0</v>
      </c>
      <c r="T59" s="89">
        <v>40.0</v>
      </c>
      <c r="U59" s="89"/>
      <c r="V59" s="89"/>
      <c r="W59" s="90"/>
      <c r="X59" s="86"/>
      <c r="Z59" s="84" t="s">
        <v>52</v>
      </c>
      <c r="AA59" s="89">
        <v>28.0</v>
      </c>
      <c r="AB59" s="89">
        <v>30.0</v>
      </c>
      <c r="AC59" s="89">
        <v>32.0</v>
      </c>
      <c r="AD59" s="89">
        <v>34.0</v>
      </c>
      <c r="AE59" s="89">
        <v>36.0</v>
      </c>
      <c r="AF59" s="89">
        <v>38.0</v>
      </c>
      <c r="AG59" s="89">
        <v>40.0</v>
      </c>
      <c r="AH59" s="89"/>
      <c r="AI59" s="89"/>
      <c r="AJ59" s="87"/>
      <c r="AK59" s="86"/>
    </row>
    <row r="60" ht="19.5" customHeight="1">
      <c r="A60" s="111" t="s">
        <v>82</v>
      </c>
      <c r="B60" s="50"/>
      <c r="C60" s="50"/>
      <c r="D60" s="50"/>
      <c r="E60" s="50"/>
      <c r="F60" s="50"/>
      <c r="G60" s="50"/>
      <c r="H60" s="50"/>
      <c r="I60" s="50"/>
      <c r="J60" s="50"/>
      <c r="K60" s="51"/>
      <c r="M60" s="84"/>
      <c r="N60" s="112" t="s">
        <v>4</v>
      </c>
      <c r="O60" s="112" t="s">
        <v>53</v>
      </c>
      <c r="P60" s="112" t="s">
        <v>54</v>
      </c>
      <c r="Q60" s="112" t="s">
        <v>55</v>
      </c>
      <c r="R60" s="112" t="s">
        <v>56</v>
      </c>
      <c r="S60" s="112" t="s">
        <v>9</v>
      </c>
      <c r="T60" s="112" t="s">
        <v>10</v>
      </c>
      <c r="U60" s="112" t="s">
        <v>11</v>
      </c>
      <c r="V60" s="112" t="s">
        <v>12</v>
      </c>
      <c r="W60" s="113" t="s">
        <v>49</v>
      </c>
      <c r="X60" s="86"/>
      <c r="Z60" s="84"/>
      <c r="AA60" s="112" t="s">
        <v>4</v>
      </c>
      <c r="AB60" s="112" t="s">
        <v>53</v>
      </c>
      <c r="AC60" s="112" t="s">
        <v>54</v>
      </c>
      <c r="AD60" s="112" t="s">
        <v>55</v>
      </c>
      <c r="AE60" s="112" t="s">
        <v>56</v>
      </c>
      <c r="AF60" s="112" t="s">
        <v>9</v>
      </c>
      <c r="AG60" s="112" t="s">
        <v>10</v>
      </c>
      <c r="AH60" s="112" t="s">
        <v>11</v>
      </c>
      <c r="AI60" s="112" t="s">
        <v>12</v>
      </c>
      <c r="AJ60" s="113" t="s">
        <v>49</v>
      </c>
      <c r="AK60" s="86"/>
    </row>
    <row r="61" ht="19.5" customHeight="1">
      <c r="A61" s="81"/>
      <c r="B61" s="82" t="s">
        <v>1</v>
      </c>
      <c r="C61" s="50"/>
      <c r="D61" s="50"/>
      <c r="E61" s="50"/>
      <c r="F61" s="50"/>
      <c r="G61" s="50"/>
      <c r="H61" s="50"/>
      <c r="I61" s="50"/>
      <c r="J61" s="51"/>
      <c r="K61" s="114"/>
      <c r="M61" s="84" t="s">
        <v>59</v>
      </c>
      <c r="N61" s="89">
        <f>0+2+2+1</f>
        <v>5</v>
      </c>
      <c r="O61" s="89">
        <f>0+2+2-1+1+1+2</f>
        <v>7</v>
      </c>
      <c r="P61" s="89">
        <f>0+2+3+1-1-1+1+1</f>
        <v>6</v>
      </c>
      <c r="Q61" s="89">
        <f>0+3+3+1-1+1-5+5</f>
        <v>7</v>
      </c>
      <c r="R61" s="89">
        <f>0+3+2+1+1-1+1</f>
        <v>7</v>
      </c>
      <c r="S61" s="89">
        <f>0+1+2+1+1-1+1</f>
        <v>5</v>
      </c>
      <c r="T61" s="89">
        <f>0+1+1-1+1+1+1-1+1</f>
        <v>4</v>
      </c>
      <c r="U61" s="89">
        <f>0+1+1</f>
        <v>2</v>
      </c>
      <c r="V61" s="89">
        <f>0+1-1+1+1</f>
        <v>2</v>
      </c>
      <c r="W61" s="89">
        <f t="shared" ref="W61:W62" si="86">SUM(N61:V61)</f>
        <v>45</v>
      </c>
      <c r="X61" s="86"/>
      <c r="Z61" s="84" t="s">
        <v>59</v>
      </c>
      <c r="AA61" s="89">
        <f>0</f>
        <v>0</v>
      </c>
      <c r="AB61" s="89">
        <f>0+1-1+1</f>
        <v>1</v>
      </c>
      <c r="AC61" s="105">
        <f>0+4-1+1</f>
        <v>4</v>
      </c>
      <c r="AD61" s="105">
        <f>0+2+1-1-1+1+1</f>
        <v>3</v>
      </c>
      <c r="AE61" s="89">
        <f>0+1+1-1+1-1</f>
        <v>1</v>
      </c>
      <c r="AF61" s="89">
        <f t="shared" ref="AF61:AG61" si="84">0+2-1+1</f>
        <v>2</v>
      </c>
      <c r="AG61" s="89">
        <f t="shared" si="84"/>
        <v>2</v>
      </c>
      <c r="AH61" s="89">
        <f>0+1</f>
        <v>1</v>
      </c>
      <c r="AI61" s="89">
        <f>0+1+1+1+1-2</f>
        <v>2</v>
      </c>
      <c r="AJ61" s="89">
        <f t="shared" ref="AJ61:AJ62" si="87">SUM(AA61:AI61)</f>
        <v>16</v>
      </c>
      <c r="AK61" s="86"/>
    </row>
    <row r="62" ht="19.5" customHeight="1">
      <c r="A62" s="81" t="s">
        <v>52</v>
      </c>
      <c r="B62" s="89">
        <v>28.0</v>
      </c>
      <c r="C62" s="89">
        <v>30.0</v>
      </c>
      <c r="D62" s="89">
        <v>32.0</v>
      </c>
      <c r="E62" s="89">
        <v>34.0</v>
      </c>
      <c r="F62" s="89">
        <v>36.0</v>
      </c>
      <c r="G62" s="89">
        <v>38.0</v>
      </c>
      <c r="H62" s="89">
        <v>40.0</v>
      </c>
      <c r="I62" s="89"/>
      <c r="J62" s="89"/>
      <c r="K62" s="114"/>
      <c r="M62" s="84" t="s">
        <v>60</v>
      </c>
      <c r="N62" s="89">
        <f>0+2+2-1-1-1+1+1-1+1</f>
        <v>3</v>
      </c>
      <c r="O62" s="89">
        <f>0+1+3-1-1+1+2+2+1-1</f>
        <v>7</v>
      </c>
      <c r="P62" s="89">
        <f>0+1+3-1+1-1-1-1-1+1-1+1+1+1+1+1-1</f>
        <v>4</v>
      </c>
      <c r="Q62" s="89">
        <f>0+3+3-1-1+1+1+1+1+1</f>
        <v>9</v>
      </c>
      <c r="R62" s="89">
        <f>0+1+2-1+1-1-1+1+1+1+1+1+1+1-2</f>
        <v>6</v>
      </c>
      <c r="S62" s="89">
        <f>0+1+2-1-1+1+1+1+1</f>
        <v>5</v>
      </c>
      <c r="T62" s="89">
        <f t="shared" ref="T62:V62" si="85">0+1+1</f>
        <v>2</v>
      </c>
      <c r="U62" s="89">
        <f t="shared" si="85"/>
        <v>2</v>
      </c>
      <c r="V62" s="89">
        <f t="shared" si="85"/>
        <v>2</v>
      </c>
      <c r="W62" s="89">
        <f t="shared" si="86"/>
        <v>40</v>
      </c>
      <c r="X62" s="86"/>
      <c r="Y62" s="102" t="s">
        <v>58</v>
      </c>
      <c r="Z62" s="84" t="s">
        <v>60</v>
      </c>
      <c r="AA62" s="105">
        <f>0+1+2+1</f>
        <v>4</v>
      </c>
      <c r="AB62" s="105">
        <f>0+1+2-1-1-1+2+1</f>
        <v>3</v>
      </c>
      <c r="AC62" s="89">
        <f>0+2+2+1-1-1-3+1</f>
        <v>1</v>
      </c>
      <c r="AD62" s="89">
        <f>0+1+2-1-1-1+1</f>
        <v>1</v>
      </c>
      <c r="AE62" s="105">
        <f>0+1+2-1-1+2</f>
        <v>3</v>
      </c>
      <c r="AF62" s="105">
        <f>0+1+2-1-2+2+1</f>
        <v>3</v>
      </c>
      <c r="AG62" s="105">
        <f>0+1+2-1+1</f>
        <v>3</v>
      </c>
      <c r="AH62" s="105">
        <f>0+1+1+2+3</f>
        <v>7</v>
      </c>
      <c r="AI62" s="105">
        <f>0+1+1+2</f>
        <v>4</v>
      </c>
      <c r="AJ62" s="89">
        <f t="shared" si="87"/>
        <v>29</v>
      </c>
      <c r="AK62" s="86"/>
      <c r="AX62" s="120" t="s">
        <v>38</v>
      </c>
    </row>
    <row r="63" ht="19.5" customHeight="1">
      <c r="A63" s="81"/>
      <c r="B63" s="112" t="s">
        <v>4</v>
      </c>
      <c r="C63" s="112" t="s">
        <v>53</v>
      </c>
      <c r="D63" s="112" t="s">
        <v>54</v>
      </c>
      <c r="E63" s="112" t="s">
        <v>55</v>
      </c>
      <c r="F63" s="112" t="s">
        <v>56</v>
      </c>
      <c r="G63" s="112" t="s">
        <v>9</v>
      </c>
      <c r="H63" s="112" t="s">
        <v>10</v>
      </c>
      <c r="I63" s="112" t="s">
        <v>11</v>
      </c>
      <c r="J63" s="112" t="s">
        <v>12</v>
      </c>
      <c r="K63" s="119" t="s">
        <v>49</v>
      </c>
      <c r="X63" s="86"/>
      <c r="AK63" s="86"/>
    </row>
    <row r="64" ht="19.5" customHeight="1">
      <c r="A64" s="84" t="s">
        <v>17</v>
      </c>
      <c r="B64" s="89">
        <f t="shared" ref="B64:B65" si="89">0+2</f>
        <v>2</v>
      </c>
      <c r="C64" s="89">
        <f>0+1+1</f>
        <v>2</v>
      </c>
      <c r="D64" s="89">
        <f>0+2-1+1</f>
        <v>2</v>
      </c>
      <c r="E64" s="89">
        <f>0+1+1</f>
        <v>2</v>
      </c>
      <c r="F64" s="89">
        <f>0+1</f>
        <v>1</v>
      </c>
      <c r="G64" s="89">
        <f>0+1-1+1</f>
        <v>1</v>
      </c>
      <c r="H64" s="89">
        <f>0+1</f>
        <v>1</v>
      </c>
      <c r="I64" s="89">
        <f t="shared" ref="I64:J64" si="88">0</f>
        <v>0</v>
      </c>
      <c r="J64" s="89">
        <f t="shared" si="88"/>
        <v>0</v>
      </c>
      <c r="K64" s="114">
        <f t="shared" ref="K64:K66" si="91">SUM(B64:J64)</f>
        <v>11</v>
      </c>
      <c r="M64" s="76" t="s">
        <v>83</v>
      </c>
      <c r="N64" s="50"/>
      <c r="O64" s="50"/>
      <c r="P64" s="50"/>
      <c r="Q64" s="50"/>
      <c r="R64" s="50"/>
      <c r="S64" s="50"/>
      <c r="T64" s="50"/>
      <c r="U64" s="50"/>
      <c r="V64" s="50"/>
      <c r="W64" s="77"/>
      <c r="X64" s="86"/>
      <c r="Z64" s="76" t="s">
        <v>84</v>
      </c>
      <c r="AA64" s="50"/>
      <c r="AB64" s="50"/>
      <c r="AC64" s="50"/>
      <c r="AD64" s="50"/>
      <c r="AE64" s="50"/>
      <c r="AF64" s="50"/>
      <c r="AG64" s="50"/>
      <c r="AH64" s="50"/>
      <c r="AI64" s="50"/>
      <c r="AJ64" s="77"/>
      <c r="AK64" s="86"/>
    </row>
    <row r="65" ht="19.5" customHeight="1">
      <c r="A65" s="106" t="s">
        <v>28</v>
      </c>
      <c r="B65" s="89">
        <f t="shared" si="89"/>
        <v>2</v>
      </c>
      <c r="C65" s="89">
        <f>0+1</f>
        <v>1</v>
      </c>
      <c r="D65" s="89">
        <f>0+3</f>
        <v>3</v>
      </c>
      <c r="E65" s="89">
        <f>0+1+1</f>
        <v>2</v>
      </c>
      <c r="F65" s="89">
        <f>0+1-1+1-1+1+1</f>
        <v>2</v>
      </c>
      <c r="G65" s="89">
        <f t="shared" ref="G65:G66" si="92">0+1</f>
        <v>1</v>
      </c>
      <c r="H65" s="89">
        <f>0+3</f>
        <v>3</v>
      </c>
      <c r="I65" s="89">
        <f t="shared" ref="I65:J65" si="90">0</f>
        <v>0</v>
      </c>
      <c r="J65" s="89">
        <f t="shared" si="90"/>
        <v>0</v>
      </c>
      <c r="K65" s="114">
        <f t="shared" si="91"/>
        <v>14</v>
      </c>
      <c r="M65" s="107"/>
      <c r="N65" s="82" t="s">
        <v>2</v>
      </c>
      <c r="O65" s="50"/>
      <c r="P65" s="50"/>
      <c r="Q65" s="50"/>
      <c r="R65" s="50"/>
      <c r="S65" s="50"/>
      <c r="T65" s="50"/>
      <c r="U65" s="50"/>
      <c r="V65" s="51"/>
      <c r="W65" s="85"/>
      <c r="X65" s="86"/>
      <c r="Z65" s="107"/>
      <c r="AA65" s="82" t="s">
        <v>2</v>
      </c>
      <c r="AB65" s="50"/>
      <c r="AC65" s="50"/>
      <c r="AD65" s="50"/>
      <c r="AE65" s="50"/>
      <c r="AF65" s="50"/>
      <c r="AG65" s="50"/>
      <c r="AH65" s="50"/>
      <c r="AI65" s="51"/>
      <c r="AJ65" s="87"/>
      <c r="AK65" s="86"/>
    </row>
    <row r="66" ht="19.5" customHeight="1">
      <c r="A66" s="84" t="s">
        <v>14</v>
      </c>
      <c r="B66" s="89">
        <f>0+1</f>
        <v>1</v>
      </c>
      <c r="C66" s="89">
        <f>0+2+1-1+1-1+1</f>
        <v>3</v>
      </c>
      <c r="D66" s="89">
        <f>0+1-1+1-1+1-1+1</f>
        <v>1</v>
      </c>
      <c r="E66" s="89">
        <f>0+1+1-1+1+2</f>
        <v>4</v>
      </c>
      <c r="F66" s="89">
        <f>0+1+1+1-1+1</f>
        <v>3</v>
      </c>
      <c r="G66" s="89">
        <f t="shared" si="92"/>
        <v>1</v>
      </c>
      <c r="H66" s="89">
        <f>0</f>
        <v>0</v>
      </c>
      <c r="I66" s="89">
        <f t="shared" ref="I66:J66" si="93">0+1</f>
        <v>1</v>
      </c>
      <c r="J66" s="89">
        <f t="shared" si="93"/>
        <v>1</v>
      </c>
      <c r="K66" s="114">
        <f t="shared" si="91"/>
        <v>15</v>
      </c>
      <c r="M66" s="84" t="s">
        <v>52</v>
      </c>
      <c r="N66" s="89">
        <v>28.0</v>
      </c>
      <c r="O66" s="89">
        <v>30.0</v>
      </c>
      <c r="P66" s="89">
        <v>32.0</v>
      </c>
      <c r="Q66" s="89">
        <v>34.0</v>
      </c>
      <c r="R66" s="89">
        <v>36.0</v>
      </c>
      <c r="S66" s="89">
        <v>38.0</v>
      </c>
      <c r="T66" s="89">
        <v>40.0</v>
      </c>
      <c r="U66" s="89"/>
      <c r="V66" s="89"/>
      <c r="W66" s="90"/>
      <c r="X66" s="86"/>
      <c r="Z66" s="84" t="s">
        <v>52</v>
      </c>
      <c r="AA66" s="89">
        <v>28.0</v>
      </c>
      <c r="AB66" s="89">
        <v>30.0</v>
      </c>
      <c r="AC66" s="89">
        <v>32.0</v>
      </c>
      <c r="AD66" s="89">
        <v>34.0</v>
      </c>
      <c r="AE66" s="89">
        <v>36.0</v>
      </c>
      <c r="AF66" s="89">
        <v>38.0</v>
      </c>
      <c r="AG66" s="89">
        <v>40.0</v>
      </c>
      <c r="AH66" s="89"/>
      <c r="AI66" s="89"/>
      <c r="AJ66" s="87"/>
      <c r="AK66" s="86"/>
    </row>
    <row r="67" ht="19.5" customHeight="1">
      <c r="A67" s="108"/>
      <c r="B67" s="109"/>
      <c r="C67" s="109"/>
      <c r="D67" s="109"/>
      <c r="E67" s="109"/>
      <c r="F67" s="109"/>
      <c r="G67" s="109"/>
      <c r="H67" s="109"/>
      <c r="I67" s="109"/>
      <c r="J67" s="109"/>
      <c r="K67" s="110">
        <f>SUM(K64:K66)</f>
        <v>40</v>
      </c>
      <c r="M67" s="84"/>
      <c r="N67" s="112" t="s">
        <v>4</v>
      </c>
      <c r="O67" s="112" t="s">
        <v>53</v>
      </c>
      <c r="P67" s="112" t="s">
        <v>54</v>
      </c>
      <c r="Q67" s="112" t="s">
        <v>55</v>
      </c>
      <c r="R67" s="112" t="s">
        <v>56</v>
      </c>
      <c r="S67" s="112" t="s">
        <v>9</v>
      </c>
      <c r="T67" s="112" t="s">
        <v>10</v>
      </c>
      <c r="U67" s="112" t="s">
        <v>11</v>
      </c>
      <c r="V67" s="112" t="s">
        <v>12</v>
      </c>
      <c r="W67" s="113" t="s">
        <v>49</v>
      </c>
      <c r="X67" s="86"/>
      <c r="Z67" s="84"/>
      <c r="AA67" s="112" t="s">
        <v>4</v>
      </c>
      <c r="AB67" s="112" t="s">
        <v>53</v>
      </c>
      <c r="AC67" s="112" t="s">
        <v>54</v>
      </c>
      <c r="AD67" s="112" t="s">
        <v>55</v>
      </c>
      <c r="AE67" s="112" t="s">
        <v>56</v>
      </c>
      <c r="AF67" s="112" t="s">
        <v>9</v>
      </c>
      <c r="AG67" s="112" t="s">
        <v>10</v>
      </c>
      <c r="AH67" s="112" t="s">
        <v>11</v>
      </c>
      <c r="AI67" s="112" t="s">
        <v>12</v>
      </c>
      <c r="AJ67" s="113" t="s">
        <v>49</v>
      </c>
      <c r="AK67" s="86"/>
    </row>
    <row r="68" ht="19.5" customHeight="1">
      <c r="A68" s="111" t="s">
        <v>85</v>
      </c>
      <c r="B68" s="50"/>
      <c r="C68" s="50"/>
      <c r="D68" s="50"/>
      <c r="E68" s="50"/>
      <c r="F68" s="50"/>
      <c r="G68" s="50"/>
      <c r="H68" s="50"/>
      <c r="I68" s="50"/>
      <c r="J68" s="50"/>
      <c r="K68" s="51"/>
      <c r="M68" s="84" t="s">
        <v>59</v>
      </c>
      <c r="N68" s="89">
        <f>0+3+2+1+1-3</f>
        <v>4</v>
      </c>
      <c r="O68" s="89">
        <f>0+2-1-1+1+3+2</f>
        <v>6</v>
      </c>
      <c r="P68" s="89">
        <f>0+2-1-1+1+1+1+5+1+1-1+1+1+1-1+1-2-2-1-1+2+6-2</f>
        <v>12</v>
      </c>
      <c r="Q68" s="89">
        <f>0+1-1+1+1+1+5+1+1-1+1-1+1-3-1+3+3-1+1</f>
        <v>12</v>
      </c>
      <c r="R68" s="89">
        <f>0+2-1+1-1+3+1+1+1+1+1-1-1+2-2+2</f>
        <v>9</v>
      </c>
      <c r="S68" s="89">
        <f>0+2-1+1+2-1+1+1+1+1+1-1-1+1</f>
        <v>7</v>
      </c>
      <c r="T68" s="89">
        <f>0+1-1+1+2-1+1+1-1-1+1+1</f>
        <v>4</v>
      </c>
      <c r="U68" s="89">
        <f>0+2+1+1+1+1</f>
        <v>6</v>
      </c>
      <c r="V68" s="89">
        <f>0+1+1+4</f>
        <v>6</v>
      </c>
      <c r="W68" s="89">
        <f t="shared" ref="W68:W69" si="95">SUM(N68:V68)</f>
        <v>66</v>
      </c>
      <c r="X68" s="115"/>
      <c r="Z68" s="84" t="s">
        <v>59</v>
      </c>
      <c r="AA68" s="105">
        <f>0+2+2</f>
        <v>4</v>
      </c>
      <c r="AB68" s="105">
        <f>0+3-1+1+3-2</f>
        <v>4</v>
      </c>
      <c r="AC68" s="89">
        <f>0+1+1-1+1+3-3+3-5</f>
        <v>0</v>
      </c>
      <c r="AD68" s="105">
        <f>0+2+1-1+1-1+1-1+1+1+2-1+1-3+3+1+1+1-1</f>
        <v>8</v>
      </c>
      <c r="AE68" s="105">
        <f>0+3-1-1+1+1+3-1+1+1-2-1+1</f>
        <v>5</v>
      </c>
      <c r="AF68" s="105">
        <f>0+2-1-1+1+1+3</f>
        <v>5</v>
      </c>
      <c r="AG68" s="105">
        <f>0+2-1+1+3-1-1</f>
        <v>3</v>
      </c>
      <c r="AH68" s="105">
        <f>0+2+1</f>
        <v>3</v>
      </c>
      <c r="AI68" s="105">
        <f>0+2-1+1+1</f>
        <v>3</v>
      </c>
      <c r="AJ68" s="89">
        <f t="shared" ref="AJ68:AJ69" si="97">SUM(AA68:AI68)</f>
        <v>35</v>
      </c>
      <c r="AK68" s="115"/>
    </row>
    <row r="69" ht="19.5" customHeight="1">
      <c r="A69" s="81"/>
      <c r="B69" s="82" t="s">
        <v>2</v>
      </c>
      <c r="C69" s="50"/>
      <c r="D69" s="50"/>
      <c r="E69" s="50"/>
      <c r="F69" s="50"/>
      <c r="G69" s="50"/>
      <c r="H69" s="50"/>
      <c r="I69" s="50"/>
      <c r="J69" s="77"/>
      <c r="K69" s="114"/>
      <c r="M69" s="84" t="s">
        <v>60</v>
      </c>
      <c r="N69" s="89">
        <f>0+2+2-1-1+1+1+1+1</f>
        <v>6</v>
      </c>
      <c r="O69" s="89">
        <f>0+2+3+1-1-1+1+1-1+1+1+1-1+2</f>
        <v>9</v>
      </c>
      <c r="P69" s="89">
        <f>0+1+5-1-1+1+1+1+1-1+1</f>
        <v>8</v>
      </c>
      <c r="Q69" s="100">
        <f>0+1-1+1+5-1-1+1-1+1+1+1+1+1+1</f>
        <v>10</v>
      </c>
      <c r="R69" s="89">
        <f>0+2+3-1-1+1+1+1+1</f>
        <v>7</v>
      </c>
      <c r="S69" s="89">
        <f>0+1+2-1-1+1+1-2+1+1</f>
        <v>3</v>
      </c>
      <c r="T69" s="89">
        <f>0+2+2-1+1-1</f>
        <v>3</v>
      </c>
      <c r="U69" s="89">
        <f t="shared" ref="U69:V69" si="94">0+1+1</f>
        <v>2</v>
      </c>
      <c r="V69" s="89">
        <f t="shared" si="94"/>
        <v>2</v>
      </c>
      <c r="W69" s="89">
        <f t="shared" si="95"/>
        <v>50</v>
      </c>
      <c r="X69" s="116">
        <f>SUM(W69,W68)</f>
        <v>116</v>
      </c>
      <c r="Z69" s="84" t="s">
        <v>60</v>
      </c>
      <c r="AA69" s="89">
        <f>0+1</f>
        <v>1</v>
      </c>
      <c r="AB69" s="89">
        <f>0+1-1+1</f>
        <v>1</v>
      </c>
      <c r="AC69" s="89">
        <f>0+1-1+1+1-1+1-1-1+1-1+1</f>
        <v>1</v>
      </c>
      <c r="AD69" s="89">
        <f>0+1+1-1-1+1-1+1-1+1</f>
        <v>1</v>
      </c>
      <c r="AE69" s="89">
        <f>2-1+1-1+1</f>
        <v>2</v>
      </c>
      <c r="AF69" s="89">
        <f t="shared" ref="AF69:AI69" si="96">0+1-1</f>
        <v>0</v>
      </c>
      <c r="AG69" s="89">
        <f t="shared" si="96"/>
        <v>0</v>
      </c>
      <c r="AH69" s="89">
        <f t="shared" si="96"/>
        <v>0</v>
      </c>
      <c r="AI69" s="89">
        <f t="shared" si="96"/>
        <v>0</v>
      </c>
      <c r="AJ69" s="89">
        <f t="shared" si="97"/>
        <v>6</v>
      </c>
      <c r="AK69" s="118">
        <f>SUM(AJ69,AJ68,AJ62,AJ61)</f>
        <v>86</v>
      </c>
    </row>
    <row r="70" ht="19.5" customHeight="1">
      <c r="A70" s="81" t="s">
        <v>52</v>
      </c>
      <c r="B70" s="89">
        <v>28.0</v>
      </c>
      <c r="C70" s="89">
        <v>30.0</v>
      </c>
      <c r="D70" s="89">
        <v>32.0</v>
      </c>
      <c r="E70" s="89">
        <v>34.0</v>
      </c>
      <c r="F70" s="89">
        <v>36.0</v>
      </c>
      <c r="G70" s="89">
        <v>38.0</v>
      </c>
      <c r="H70" s="89">
        <v>40.0</v>
      </c>
      <c r="I70" s="89"/>
      <c r="J70" s="90"/>
      <c r="K70" s="114"/>
    </row>
    <row r="71" ht="19.5" customHeight="1">
      <c r="A71" s="81"/>
      <c r="B71" s="112" t="s">
        <v>4</v>
      </c>
      <c r="C71" s="112" t="s">
        <v>53</v>
      </c>
      <c r="D71" s="112" t="s">
        <v>54</v>
      </c>
      <c r="E71" s="112" t="s">
        <v>55</v>
      </c>
      <c r="F71" s="112" t="s">
        <v>56</v>
      </c>
      <c r="G71" s="112" t="s">
        <v>9</v>
      </c>
      <c r="H71" s="112" t="s">
        <v>10</v>
      </c>
      <c r="I71" s="112" t="s">
        <v>11</v>
      </c>
      <c r="J71" s="85" t="s">
        <v>12</v>
      </c>
      <c r="K71" s="119" t="s">
        <v>49</v>
      </c>
      <c r="M71" s="76" t="s">
        <v>86</v>
      </c>
      <c r="N71" s="50"/>
      <c r="O71" s="50"/>
      <c r="P71" s="50"/>
      <c r="Q71" s="50"/>
      <c r="R71" s="50"/>
      <c r="S71" s="50"/>
      <c r="T71" s="50"/>
      <c r="U71" s="50"/>
      <c r="V71" s="50"/>
      <c r="W71" s="77"/>
      <c r="X71" s="78" t="s">
        <v>49</v>
      </c>
      <c r="Z71" s="76" t="s">
        <v>87</v>
      </c>
      <c r="AA71" s="50"/>
      <c r="AB71" s="50"/>
      <c r="AC71" s="50"/>
      <c r="AD71" s="50"/>
      <c r="AE71" s="50"/>
      <c r="AF71" s="50"/>
      <c r="AG71" s="50"/>
      <c r="AH71" s="50"/>
      <c r="AI71" s="50"/>
      <c r="AJ71" s="77"/>
      <c r="AK71" s="78" t="s">
        <v>49</v>
      </c>
    </row>
    <row r="72" ht="19.5" customHeight="1">
      <c r="A72" s="84" t="s">
        <v>17</v>
      </c>
      <c r="B72" s="89">
        <f t="shared" ref="B72:C72" si="98">0+2</f>
        <v>2</v>
      </c>
      <c r="C72" s="89">
        <f t="shared" si="98"/>
        <v>2</v>
      </c>
      <c r="D72" s="89">
        <f>0+3+1</f>
        <v>4</v>
      </c>
      <c r="E72" s="89">
        <f>0+2-1+1+1-1+1-1+1</f>
        <v>3</v>
      </c>
      <c r="F72" s="89">
        <f>0+3-1+1-1+1</f>
        <v>3</v>
      </c>
      <c r="G72" s="89">
        <f>0</f>
        <v>0</v>
      </c>
      <c r="H72" s="89">
        <f>0+1</f>
        <v>1</v>
      </c>
      <c r="I72" s="89">
        <f t="shared" ref="I72:J72" si="99">0</f>
        <v>0</v>
      </c>
      <c r="J72" s="89">
        <f t="shared" si="99"/>
        <v>0</v>
      </c>
      <c r="K72" s="114">
        <f t="shared" ref="K72:K74" si="101">SUM(B72:J72)</f>
        <v>15</v>
      </c>
      <c r="M72" s="84"/>
      <c r="N72" s="82" t="s">
        <v>1</v>
      </c>
      <c r="O72" s="50"/>
      <c r="P72" s="50"/>
      <c r="Q72" s="50"/>
      <c r="R72" s="50"/>
      <c r="S72" s="50"/>
      <c r="T72" s="50"/>
      <c r="U72" s="50"/>
      <c r="V72" s="51"/>
      <c r="W72" s="85"/>
      <c r="X72" s="86"/>
      <c r="Z72" s="84"/>
      <c r="AA72" s="82" t="s">
        <v>1</v>
      </c>
      <c r="AB72" s="50"/>
      <c r="AC72" s="50"/>
      <c r="AD72" s="50"/>
      <c r="AE72" s="50"/>
      <c r="AF72" s="50"/>
      <c r="AG72" s="50"/>
      <c r="AH72" s="50"/>
      <c r="AI72" s="51"/>
      <c r="AJ72" s="87"/>
      <c r="AK72" s="86"/>
    </row>
    <row r="73" ht="19.5" customHeight="1">
      <c r="A73" s="106" t="s">
        <v>28</v>
      </c>
      <c r="B73" s="89">
        <f>0+2</f>
        <v>2</v>
      </c>
      <c r="C73" s="89">
        <f>0+3</f>
        <v>3</v>
      </c>
      <c r="D73" s="89">
        <f>0+2-1+1+1-1+1</f>
        <v>3</v>
      </c>
      <c r="E73" s="89">
        <f>0+1-1+1</f>
        <v>1</v>
      </c>
      <c r="F73" s="89">
        <f>0+3-1+1+1-2+2-1+1-1-1+2</f>
        <v>4</v>
      </c>
      <c r="G73" s="89">
        <f>0+6+1-1</f>
        <v>6</v>
      </c>
      <c r="H73" s="89">
        <f>0+1-1+1</f>
        <v>1</v>
      </c>
      <c r="I73" s="89">
        <f t="shared" ref="I73:J73" si="100">0</f>
        <v>0</v>
      </c>
      <c r="J73" s="89">
        <f t="shared" si="100"/>
        <v>0</v>
      </c>
      <c r="K73" s="114">
        <f t="shared" si="101"/>
        <v>20</v>
      </c>
      <c r="M73" s="84" t="s">
        <v>52</v>
      </c>
      <c r="N73" s="89">
        <v>28.0</v>
      </c>
      <c r="O73" s="89">
        <v>30.0</v>
      </c>
      <c r="P73" s="89">
        <v>32.0</v>
      </c>
      <c r="Q73" s="89">
        <v>34.0</v>
      </c>
      <c r="R73" s="89">
        <v>36.0</v>
      </c>
      <c r="S73" s="89">
        <v>38.0</v>
      </c>
      <c r="T73" s="89">
        <v>40.0</v>
      </c>
      <c r="U73" s="89"/>
      <c r="V73" s="89"/>
      <c r="W73" s="90"/>
      <c r="X73" s="86"/>
      <c r="Z73" s="84" t="s">
        <v>52</v>
      </c>
      <c r="AA73" s="89">
        <v>28.0</v>
      </c>
      <c r="AB73" s="89">
        <v>30.0</v>
      </c>
      <c r="AC73" s="89">
        <v>32.0</v>
      </c>
      <c r="AD73" s="89">
        <v>34.0</v>
      </c>
      <c r="AE73" s="89">
        <v>36.0</v>
      </c>
      <c r="AF73" s="89">
        <v>38.0</v>
      </c>
      <c r="AG73" s="89">
        <v>40.0</v>
      </c>
      <c r="AH73" s="89"/>
      <c r="AI73" s="89"/>
      <c r="AJ73" s="87"/>
      <c r="AK73" s="86"/>
    </row>
    <row r="74" ht="19.5" customHeight="1">
      <c r="A74" s="84" t="s">
        <v>14</v>
      </c>
      <c r="B74" s="89">
        <f>0+1+1-1+1+1</f>
        <v>3</v>
      </c>
      <c r="C74" s="89">
        <f>0+1+1-1</f>
        <v>1</v>
      </c>
      <c r="D74" s="89">
        <f>0+4-1+1+1+1-1+1-1-1+1+1</f>
        <v>6</v>
      </c>
      <c r="E74" s="89">
        <f>0+1-1+1+1-1+1-1+1-1+1+1-1+1</f>
        <v>3</v>
      </c>
      <c r="F74" s="89">
        <f>0+1+1+1-1-1+1</f>
        <v>2</v>
      </c>
      <c r="G74" s="89">
        <f>0+2+1-1+1</f>
        <v>3</v>
      </c>
      <c r="H74" s="89">
        <f>0+2+1-1</f>
        <v>2</v>
      </c>
      <c r="I74" s="89">
        <f t="shared" ref="I74:J74" si="102">0+1-1</f>
        <v>0</v>
      </c>
      <c r="J74" s="89">
        <f t="shared" si="102"/>
        <v>0</v>
      </c>
      <c r="K74" s="114">
        <f t="shared" si="101"/>
        <v>20</v>
      </c>
      <c r="M74" s="84"/>
      <c r="N74" s="112" t="s">
        <v>4</v>
      </c>
      <c r="O74" s="112" t="s">
        <v>53</v>
      </c>
      <c r="P74" s="112" t="s">
        <v>54</v>
      </c>
      <c r="Q74" s="112" t="s">
        <v>55</v>
      </c>
      <c r="R74" s="112" t="s">
        <v>56</v>
      </c>
      <c r="S74" s="112" t="s">
        <v>9</v>
      </c>
      <c r="T74" s="112" t="s">
        <v>10</v>
      </c>
      <c r="U74" s="112" t="s">
        <v>11</v>
      </c>
      <c r="V74" s="112" t="s">
        <v>12</v>
      </c>
      <c r="W74" s="113" t="s">
        <v>49</v>
      </c>
      <c r="X74" s="86"/>
      <c r="Z74" s="84"/>
      <c r="AA74" s="112" t="s">
        <v>4</v>
      </c>
      <c r="AB74" s="112" t="s">
        <v>53</v>
      </c>
      <c r="AC74" s="112" t="s">
        <v>54</v>
      </c>
      <c r="AD74" s="112" t="s">
        <v>55</v>
      </c>
      <c r="AE74" s="112" t="s">
        <v>56</v>
      </c>
      <c r="AF74" s="112" t="s">
        <v>9</v>
      </c>
      <c r="AG74" s="112" t="s">
        <v>10</v>
      </c>
      <c r="AH74" s="112" t="s">
        <v>11</v>
      </c>
      <c r="AI74" s="112" t="s">
        <v>12</v>
      </c>
      <c r="AJ74" s="113" t="s">
        <v>49</v>
      </c>
      <c r="AK74" s="86"/>
    </row>
    <row r="75" ht="19.5" customHeight="1">
      <c r="A75" s="108"/>
      <c r="B75" s="109"/>
      <c r="C75" s="109"/>
      <c r="D75" s="109"/>
      <c r="E75" s="109"/>
      <c r="F75" s="109"/>
      <c r="G75" s="109"/>
      <c r="H75" s="109" t="s">
        <v>38</v>
      </c>
      <c r="I75" s="109"/>
      <c r="J75" s="109"/>
      <c r="K75" s="105">
        <f>SUM(K72:K74)</f>
        <v>55</v>
      </c>
      <c r="M75" s="84" t="s">
        <v>59</v>
      </c>
      <c r="N75" s="89">
        <f t="shared" ref="N75:W75" si="103">0</f>
        <v>0</v>
      </c>
      <c r="O75" s="89">
        <f t="shared" si="103"/>
        <v>0</v>
      </c>
      <c r="P75" s="89">
        <f t="shared" si="103"/>
        <v>0</v>
      </c>
      <c r="Q75" s="89">
        <f t="shared" si="103"/>
        <v>0</v>
      </c>
      <c r="R75" s="89">
        <f t="shared" si="103"/>
        <v>0</v>
      </c>
      <c r="S75" s="89">
        <f t="shared" si="103"/>
        <v>0</v>
      </c>
      <c r="T75" s="89">
        <f t="shared" si="103"/>
        <v>0</v>
      </c>
      <c r="U75" s="89">
        <f t="shared" si="103"/>
        <v>0</v>
      </c>
      <c r="V75" s="89">
        <f t="shared" si="103"/>
        <v>0</v>
      </c>
      <c r="W75" s="89">
        <f t="shared" si="103"/>
        <v>0</v>
      </c>
      <c r="X75" s="86"/>
      <c r="Z75" s="84" t="s">
        <v>59</v>
      </c>
      <c r="AA75" s="89">
        <f t="shared" ref="AA75:AJ75" si="104">0</f>
        <v>0</v>
      </c>
      <c r="AB75" s="89">
        <f t="shared" si="104"/>
        <v>0</v>
      </c>
      <c r="AC75" s="89">
        <f t="shared" si="104"/>
        <v>0</v>
      </c>
      <c r="AD75" s="89">
        <f t="shared" si="104"/>
        <v>0</v>
      </c>
      <c r="AE75" s="89">
        <f t="shared" si="104"/>
        <v>0</v>
      </c>
      <c r="AF75" s="89">
        <f t="shared" si="104"/>
        <v>0</v>
      </c>
      <c r="AG75" s="89">
        <f t="shared" si="104"/>
        <v>0</v>
      </c>
      <c r="AH75" s="89">
        <f t="shared" si="104"/>
        <v>0</v>
      </c>
      <c r="AI75" s="89">
        <f t="shared" si="104"/>
        <v>0</v>
      </c>
      <c r="AJ75" s="89">
        <f t="shared" si="104"/>
        <v>0</v>
      </c>
      <c r="AK75" s="86"/>
    </row>
    <row r="76" ht="19.5" customHeight="1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79"/>
      <c r="M76" s="84" t="s">
        <v>60</v>
      </c>
      <c r="N76" s="89">
        <f t="shared" ref="N76:W76" si="105">0</f>
        <v>0</v>
      </c>
      <c r="O76" s="89">
        <f t="shared" si="105"/>
        <v>0</v>
      </c>
      <c r="P76" s="89">
        <f t="shared" si="105"/>
        <v>0</v>
      </c>
      <c r="Q76" s="89">
        <f t="shared" si="105"/>
        <v>0</v>
      </c>
      <c r="R76" s="89">
        <f t="shared" si="105"/>
        <v>0</v>
      </c>
      <c r="S76" s="89">
        <f t="shared" si="105"/>
        <v>0</v>
      </c>
      <c r="T76" s="89">
        <f t="shared" si="105"/>
        <v>0</v>
      </c>
      <c r="U76" s="89">
        <f t="shared" si="105"/>
        <v>0</v>
      </c>
      <c r="V76" s="89">
        <f t="shared" si="105"/>
        <v>0</v>
      </c>
      <c r="W76" s="89">
        <f t="shared" si="105"/>
        <v>0</v>
      </c>
      <c r="X76" s="86"/>
      <c r="Z76" s="84" t="s">
        <v>60</v>
      </c>
      <c r="AA76" s="89">
        <f t="shared" ref="AA76:AJ76" si="106">0</f>
        <v>0</v>
      </c>
      <c r="AB76" s="89">
        <f t="shared" si="106"/>
        <v>0</v>
      </c>
      <c r="AC76" s="89">
        <f t="shared" si="106"/>
        <v>0</v>
      </c>
      <c r="AD76" s="89">
        <f t="shared" si="106"/>
        <v>0</v>
      </c>
      <c r="AE76" s="89">
        <f t="shared" si="106"/>
        <v>0</v>
      </c>
      <c r="AF76" s="89">
        <f t="shared" si="106"/>
        <v>0</v>
      </c>
      <c r="AG76" s="89">
        <f t="shared" si="106"/>
        <v>0</v>
      </c>
      <c r="AH76" s="89">
        <f t="shared" si="106"/>
        <v>0</v>
      </c>
      <c r="AI76" s="89">
        <f t="shared" si="106"/>
        <v>0</v>
      </c>
      <c r="AJ76" s="89">
        <f t="shared" si="106"/>
        <v>0</v>
      </c>
      <c r="AK76" s="86"/>
    </row>
    <row r="77" ht="19.5" customHeight="1">
      <c r="A77" s="111" t="s">
        <v>88</v>
      </c>
      <c r="B77" s="50"/>
      <c r="C77" s="50"/>
      <c r="D77" s="50"/>
      <c r="E77" s="50"/>
      <c r="F77" s="50"/>
      <c r="G77" s="50"/>
      <c r="H77" s="50"/>
      <c r="I77" s="50"/>
      <c r="J77" s="50"/>
      <c r="K77" s="51"/>
      <c r="X77" s="86"/>
      <c r="AK77" s="86"/>
    </row>
    <row r="78" ht="19.5" customHeight="1">
      <c r="A78" s="81"/>
      <c r="B78" s="82" t="s">
        <v>1</v>
      </c>
      <c r="C78" s="50"/>
      <c r="D78" s="50"/>
      <c r="E78" s="50"/>
      <c r="F78" s="50"/>
      <c r="G78" s="50"/>
      <c r="H78" s="50"/>
      <c r="I78" s="50"/>
      <c r="J78" s="51"/>
      <c r="K78" s="114"/>
      <c r="M78" s="76" t="s">
        <v>89</v>
      </c>
      <c r="N78" s="50"/>
      <c r="O78" s="50"/>
      <c r="P78" s="50"/>
      <c r="Q78" s="50"/>
      <c r="R78" s="50"/>
      <c r="S78" s="50"/>
      <c r="T78" s="50"/>
      <c r="U78" s="50"/>
      <c r="V78" s="50"/>
      <c r="W78" s="77"/>
      <c r="X78" s="86"/>
      <c r="Z78" s="76" t="s">
        <v>90</v>
      </c>
      <c r="AA78" s="50"/>
      <c r="AB78" s="50"/>
      <c r="AC78" s="50"/>
      <c r="AD78" s="50"/>
      <c r="AE78" s="50"/>
      <c r="AF78" s="50"/>
      <c r="AG78" s="50"/>
      <c r="AH78" s="50"/>
      <c r="AI78" s="50"/>
      <c r="AJ78" s="77"/>
      <c r="AK78" s="86"/>
    </row>
    <row r="79" ht="19.5" customHeight="1">
      <c r="A79" s="81" t="s">
        <v>52</v>
      </c>
      <c r="B79" s="89">
        <v>28.0</v>
      </c>
      <c r="C79" s="89">
        <v>30.0</v>
      </c>
      <c r="D79" s="89">
        <v>32.0</v>
      </c>
      <c r="E79" s="89">
        <v>34.0</v>
      </c>
      <c r="F79" s="89">
        <v>36.0</v>
      </c>
      <c r="G79" s="89">
        <v>38.0</v>
      </c>
      <c r="H79" s="89">
        <v>40.0</v>
      </c>
      <c r="I79" s="89"/>
      <c r="J79" s="89"/>
      <c r="K79" s="114"/>
      <c r="M79" s="107"/>
      <c r="N79" s="82" t="s">
        <v>2</v>
      </c>
      <c r="O79" s="50"/>
      <c r="P79" s="50"/>
      <c r="Q79" s="50"/>
      <c r="R79" s="50"/>
      <c r="S79" s="50"/>
      <c r="T79" s="50"/>
      <c r="U79" s="50"/>
      <c r="V79" s="51"/>
      <c r="W79" s="85"/>
      <c r="X79" s="86"/>
      <c r="Z79" s="107"/>
      <c r="AA79" s="82" t="s">
        <v>2</v>
      </c>
      <c r="AB79" s="50"/>
      <c r="AC79" s="50"/>
      <c r="AD79" s="50"/>
      <c r="AE79" s="50"/>
      <c r="AF79" s="50"/>
      <c r="AG79" s="50"/>
      <c r="AH79" s="50"/>
      <c r="AI79" s="51"/>
      <c r="AJ79" s="87"/>
      <c r="AK79" s="86"/>
    </row>
    <row r="80" ht="19.5" customHeight="1">
      <c r="A80" s="81"/>
      <c r="B80" s="112" t="s">
        <v>4</v>
      </c>
      <c r="C80" s="112" t="s">
        <v>53</v>
      </c>
      <c r="D80" s="112" t="s">
        <v>54</v>
      </c>
      <c r="E80" s="112" t="s">
        <v>55</v>
      </c>
      <c r="F80" s="112" t="s">
        <v>56</v>
      </c>
      <c r="G80" s="112" t="s">
        <v>9</v>
      </c>
      <c r="H80" s="112" t="s">
        <v>10</v>
      </c>
      <c r="I80" s="112" t="s">
        <v>11</v>
      </c>
      <c r="J80" s="112" t="s">
        <v>12</v>
      </c>
      <c r="K80" s="119" t="s">
        <v>49</v>
      </c>
      <c r="M80" s="84" t="s">
        <v>52</v>
      </c>
      <c r="N80" s="89">
        <v>28.0</v>
      </c>
      <c r="O80" s="89">
        <v>30.0</v>
      </c>
      <c r="P80" s="89">
        <v>32.0</v>
      </c>
      <c r="Q80" s="89">
        <v>34.0</v>
      </c>
      <c r="R80" s="89">
        <v>36.0</v>
      </c>
      <c r="S80" s="89">
        <v>38.0</v>
      </c>
      <c r="T80" s="89">
        <v>40.0</v>
      </c>
      <c r="U80" s="89"/>
      <c r="V80" s="89"/>
      <c r="W80" s="90"/>
      <c r="X80" s="86"/>
      <c r="Z80" s="84" t="s">
        <v>52</v>
      </c>
      <c r="AA80" s="89">
        <v>28.0</v>
      </c>
      <c r="AB80" s="89">
        <v>30.0</v>
      </c>
      <c r="AC80" s="89">
        <v>32.0</v>
      </c>
      <c r="AD80" s="89">
        <v>34.0</v>
      </c>
      <c r="AE80" s="89">
        <v>36.0</v>
      </c>
      <c r="AF80" s="89">
        <v>38.0</v>
      </c>
      <c r="AG80" s="89">
        <v>40.0</v>
      </c>
      <c r="AH80" s="89"/>
      <c r="AI80" s="89"/>
      <c r="AJ80" s="87"/>
      <c r="AK80" s="86"/>
    </row>
    <row r="81" ht="19.5" customHeight="1">
      <c r="A81" s="84" t="s">
        <v>57</v>
      </c>
      <c r="B81" s="89">
        <f>0+2-1+1-1+1+1</f>
        <v>3</v>
      </c>
      <c r="C81" s="89">
        <f>0+4-1+1+9-1+1-12</f>
        <v>1</v>
      </c>
      <c r="D81" s="89">
        <f>0+8-1+1-1+1+1-1+3-2-8-1+1-1+1</f>
        <v>1</v>
      </c>
      <c r="E81" s="89">
        <f>0+7-1+1-4+4+6-1+1-3+1+2-12-1+1-1+1+1-2+2</f>
        <v>2</v>
      </c>
      <c r="F81" s="89">
        <f>0+1+1-1+1+1-2+1+1-2+2+2</f>
        <v>5</v>
      </c>
      <c r="G81" s="89">
        <f>0+2+2-1+1+1-1</f>
        <v>4</v>
      </c>
      <c r="H81" s="89">
        <f>0+1+1</f>
        <v>2</v>
      </c>
      <c r="I81" s="89">
        <f>0+1</f>
        <v>1</v>
      </c>
      <c r="J81" s="89">
        <f>0</f>
        <v>0</v>
      </c>
      <c r="K81" s="114">
        <f t="shared" ref="K81:K84" si="108">SUM(B81:J81)</f>
        <v>19</v>
      </c>
      <c r="M81" s="84"/>
      <c r="N81" s="112" t="s">
        <v>4</v>
      </c>
      <c r="O81" s="112" t="s">
        <v>53</v>
      </c>
      <c r="P81" s="112" t="s">
        <v>54</v>
      </c>
      <c r="Q81" s="112" t="s">
        <v>55</v>
      </c>
      <c r="R81" s="112" t="s">
        <v>56</v>
      </c>
      <c r="S81" s="112" t="s">
        <v>9</v>
      </c>
      <c r="T81" s="112" t="s">
        <v>10</v>
      </c>
      <c r="U81" s="112" t="s">
        <v>11</v>
      </c>
      <c r="V81" s="112" t="s">
        <v>12</v>
      </c>
      <c r="W81" s="113" t="s">
        <v>49</v>
      </c>
      <c r="X81" s="86"/>
      <c r="Z81" s="84"/>
      <c r="AA81" s="112" t="s">
        <v>4</v>
      </c>
      <c r="AB81" s="112" t="s">
        <v>53</v>
      </c>
      <c r="AC81" s="112" t="s">
        <v>54</v>
      </c>
      <c r="AD81" s="112" t="s">
        <v>55</v>
      </c>
      <c r="AE81" s="112" t="s">
        <v>56</v>
      </c>
      <c r="AF81" s="112" t="s">
        <v>9</v>
      </c>
      <c r="AG81" s="112" t="s">
        <v>10</v>
      </c>
      <c r="AH81" s="112" t="s">
        <v>11</v>
      </c>
      <c r="AI81" s="112" t="s">
        <v>12</v>
      </c>
      <c r="AJ81" s="113" t="s">
        <v>49</v>
      </c>
      <c r="AK81" s="86"/>
    </row>
    <row r="82" ht="19.5" customHeight="1">
      <c r="A82" s="106" t="s">
        <v>91</v>
      </c>
      <c r="B82" s="89">
        <f>0+2-1+1+1-1+1-1+1</f>
        <v>3</v>
      </c>
      <c r="C82" s="89">
        <f>0+2-1+1</f>
        <v>2</v>
      </c>
      <c r="D82" s="89">
        <f>0+3-3+3</f>
        <v>3</v>
      </c>
      <c r="E82" s="89">
        <f>0+2</f>
        <v>2</v>
      </c>
      <c r="F82" s="89">
        <f>0+2-1+1</f>
        <v>2</v>
      </c>
      <c r="G82" s="89">
        <f>0+1</f>
        <v>1</v>
      </c>
      <c r="H82" s="89">
        <f>0+2</f>
        <v>2</v>
      </c>
      <c r="I82" s="89">
        <f t="shared" ref="I82:J82" si="107">0</f>
        <v>0</v>
      </c>
      <c r="J82" s="89">
        <f t="shared" si="107"/>
        <v>0</v>
      </c>
      <c r="K82" s="114">
        <f t="shared" si="108"/>
        <v>15</v>
      </c>
      <c r="M82" s="84" t="s">
        <v>59</v>
      </c>
      <c r="N82" s="89">
        <f t="shared" ref="N82:W82" si="109">0</f>
        <v>0</v>
      </c>
      <c r="O82" s="89">
        <f t="shared" si="109"/>
        <v>0</v>
      </c>
      <c r="P82" s="89">
        <f t="shared" si="109"/>
        <v>0</v>
      </c>
      <c r="Q82" s="89">
        <f t="shared" si="109"/>
        <v>0</v>
      </c>
      <c r="R82" s="89">
        <f t="shared" si="109"/>
        <v>0</v>
      </c>
      <c r="S82" s="89">
        <f t="shared" si="109"/>
        <v>0</v>
      </c>
      <c r="T82" s="89">
        <f t="shared" si="109"/>
        <v>0</v>
      </c>
      <c r="U82" s="89">
        <f t="shared" si="109"/>
        <v>0</v>
      </c>
      <c r="V82" s="89">
        <f t="shared" si="109"/>
        <v>0</v>
      </c>
      <c r="W82" s="89">
        <f t="shared" si="109"/>
        <v>0</v>
      </c>
      <c r="X82" s="115"/>
      <c r="Z82" s="84" t="s">
        <v>59</v>
      </c>
      <c r="AA82" s="89">
        <f t="shared" ref="AA82:AJ82" si="110">0</f>
        <v>0</v>
      </c>
      <c r="AB82" s="89">
        <f t="shared" si="110"/>
        <v>0</v>
      </c>
      <c r="AC82" s="89">
        <f t="shared" si="110"/>
        <v>0</v>
      </c>
      <c r="AD82" s="89">
        <f t="shared" si="110"/>
        <v>0</v>
      </c>
      <c r="AE82" s="89">
        <f t="shared" si="110"/>
        <v>0</v>
      </c>
      <c r="AF82" s="89">
        <f t="shared" si="110"/>
        <v>0</v>
      </c>
      <c r="AG82" s="89">
        <f t="shared" si="110"/>
        <v>0</v>
      </c>
      <c r="AH82" s="89">
        <f t="shared" si="110"/>
        <v>0</v>
      </c>
      <c r="AI82" s="89">
        <f t="shared" si="110"/>
        <v>0</v>
      </c>
      <c r="AJ82" s="89">
        <f t="shared" si="110"/>
        <v>0</v>
      </c>
      <c r="AK82" s="115"/>
    </row>
    <row r="83" ht="19.5" customHeight="1">
      <c r="A83" s="84" t="s">
        <v>92</v>
      </c>
      <c r="B83" s="89">
        <f>0</f>
        <v>0</v>
      </c>
      <c r="C83" s="89">
        <f>0+3</f>
        <v>3</v>
      </c>
      <c r="D83" s="89">
        <f>0</f>
        <v>0</v>
      </c>
      <c r="E83" s="89">
        <f>0+4</f>
        <v>4</v>
      </c>
      <c r="F83" s="89">
        <f>0+3</f>
        <v>3</v>
      </c>
      <c r="G83" s="89">
        <f t="shared" ref="G83:H83" si="111">0+2</f>
        <v>2</v>
      </c>
      <c r="H83" s="89">
        <f t="shared" si="111"/>
        <v>2</v>
      </c>
      <c r="I83" s="89">
        <f t="shared" ref="I83:J83" si="112">0+1</f>
        <v>1</v>
      </c>
      <c r="J83" s="89">
        <f t="shared" si="112"/>
        <v>1</v>
      </c>
      <c r="K83" s="114">
        <f t="shared" si="108"/>
        <v>16</v>
      </c>
      <c r="M83" s="84" t="s">
        <v>60</v>
      </c>
      <c r="N83" s="89">
        <f t="shared" ref="N83:W83" si="113">0</f>
        <v>0</v>
      </c>
      <c r="O83" s="89">
        <f t="shared" si="113"/>
        <v>0</v>
      </c>
      <c r="P83" s="89">
        <f t="shared" si="113"/>
        <v>0</v>
      </c>
      <c r="Q83" s="89">
        <f t="shared" si="113"/>
        <v>0</v>
      </c>
      <c r="R83" s="89">
        <f t="shared" si="113"/>
        <v>0</v>
      </c>
      <c r="S83" s="89">
        <f t="shared" si="113"/>
        <v>0</v>
      </c>
      <c r="T83" s="89">
        <f t="shared" si="113"/>
        <v>0</v>
      </c>
      <c r="U83" s="89">
        <f t="shared" si="113"/>
        <v>0</v>
      </c>
      <c r="V83" s="89">
        <f t="shared" si="113"/>
        <v>0</v>
      </c>
      <c r="W83" s="89">
        <f t="shared" si="113"/>
        <v>0</v>
      </c>
      <c r="X83" s="116">
        <f>SUM(W83,W82)</f>
        <v>0</v>
      </c>
      <c r="Z83" s="84" t="s">
        <v>60</v>
      </c>
      <c r="AA83" s="89">
        <f t="shared" ref="AA83:AJ83" si="114">0</f>
        <v>0</v>
      </c>
      <c r="AB83" s="89">
        <f t="shared" si="114"/>
        <v>0</v>
      </c>
      <c r="AC83" s="89">
        <f t="shared" si="114"/>
        <v>0</v>
      </c>
      <c r="AD83" s="89">
        <f t="shared" si="114"/>
        <v>0</v>
      </c>
      <c r="AE83" s="89">
        <f t="shared" si="114"/>
        <v>0</v>
      </c>
      <c r="AF83" s="89">
        <f t="shared" si="114"/>
        <v>0</v>
      </c>
      <c r="AG83" s="89">
        <f t="shared" si="114"/>
        <v>0</v>
      </c>
      <c r="AH83" s="89">
        <f t="shared" si="114"/>
        <v>0</v>
      </c>
      <c r="AI83" s="89">
        <f t="shared" si="114"/>
        <v>0</v>
      </c>
      <c r="AJ83" s="89">
        <f t="shared" si="114"/>
        <v>0</v>
      </c>
      <c r="AK83" s="118">
        <f>SUM(AJ75:AJ76,AJ82:AJ83)</f>
        <v>0</v>
      </c>
    </row>
    <row r="84" ht="19.5" customHeight="1">
      <c r="A84" s="106" t="s">
        <v>43</v>
      </c>
      <c r="B84" s="89">
        <f>0+1-1+1-1+1</f>
        <v>1</v>
      </c>
      <c r="C84" s="89">
        <f>0+1+1-1+1-1+1+1-1+1-2+2-1+1-3+3</f>
        <v>3</v>
      </c>
      <c r="D84" s="89">
        <f>0+1+1-1+1-1-1+1-1+1-1+1+1-1+1-1+1</f>
        <v>2</v>
      </c>
      <c r="E84" s="89">
        <f>0+4+1-1+1+2-1+1-1+1-4+1-1+1-2+2-1+1</f>
        <v>4</v>
      </c>
      <c r="F84" s="89">
        <f>0+3-1+1-1-1+1+2-1+1-1+1-1+1-1+1</f>
        <v>4</v>
      </c>
      <c r="G84" s="89">
        <f>0+2+1-1+1+1-1+1-1+1-1+1-3+3-3</f>
        <v>1</v>
      </c>
      <c r="H84" s="89">
        <f>0+1-1+1+1-1+1+1-1+1+3</f>
        <v>6</v>
      </c>
      <c r="I84" s="89">
        <f>0+1-1+1+1-1+1+1</f>
        <v>3</v>
      </c>
      <c r="J84" s="89">
        <f>0+1</f>
        <v>1</v>
      </c>
      <c r="K84" s="114">
        <f t="shared" si="108"/>
        <v>25</v>
      </c>
    </row>
    <row r="85" ht="19.5" customHeight="1">
      <c r="A85" s="108"/>
      <c r="B85" s="109"/>
      <c r="C85" s="132"/>
      <c r="D85" s="109"/>
      <c r="E85" s="109"/>
      <c r="F85" s="109"/>
      <c r="G85" s="109"/>
      <c r="H85" s="109"/>
      <c r="I85" s="109"/>
      <c r="J85" s="109"/>
      <c r="K85" s="110">
        <f>SUM(K81:K84)</f>
        <v>75</v>
      </c>
      <c r="M85" s="76" t="s">
        <v>93</v>
      </c>
      <c r="N85" s="50"/>
      <c r="O85" s="50"/>
      <c r="P85" s="50"/>
      <c r="Q85" s="50"/>
      <c r="R85" s="50"/>
      <c r="S85" s="50"/>
      <c r="T85" s="50"/>
      <c r="U85" s="50"/>
      <c r="V85" s="50"/>
      <c r="W85" s="51"/>
      <c r="X85" s="133" t="s">
        <v>49</v>
      </c>
      <c r="Z85" s="76" t="s">
        <v>94</v>
      </c>
      <c r="AA85" s="50"/>
      <c r="AB85" s="50"/>
      <c r="AC85" s="50"/>
      <c r="AD85" s="50"/>
      <c r="AE85" s="50"/>
      <c r="AF85" s="50"/>
      <c r="AG85" s="50"/>
      <c r="AH85" s="50"/>
      <c r="AI85" s="50"/>
      <c r="AJ85" s="77"/>
      <c r="AK85" s="133" t="s">
        <v>49</v>
      </c>
    </row>
    <row r="86" ht="19.5" customHeight="1">
      <c r="A86" s="111" t="s">
        <v>95</v>
      </c>
      <c r="B86" s="50"/>
      <c r="C86" s="50"/>
      <c r="D86" s="50"/>
      <c r="E86" s="50"/>
      <c r="F86" s="50"/>
      <c r="G86" s="50"/>
      <c r="H86" s="50"/>
      <c r="I86" s="50"/>
      <c r="J86" s="50"/>
      <c r="K86" s="51"/>
      <c r="M86" s="107"/>
      <c r="N86" s="82" t="s">
        <v>42</v>
      </c>
      <c r="O86" s="50"/>
      <c r="P86" s="50"/>
      <c r="Q86" s="50"/>
      <c r="R86" s="50"/>
      <c r="S86" s="50"/>
      <c r="T86" s="50"/>
      <c r="U86" s="50"/>
      <c r="V86" s="51"/>
      <c r="W86" s="112"/>
      <c r="X86" s="86"/>
      <c r="Z86" s="107"/>
      <c r="AA86" s="82" t="s">
        <v>42</v>
      </c>
      <c r="AB86" s="50"/>
      <c r="AC86" s="50"/>
      <c r="AD86" s="50"/>
      <c r="AE86" s="50"/>
      <c r="AF86" s="50"/>
      <c r="AG86" s="50"/>
      <c r="AH86" s="50"/>
      <c r="AI86" s="51"/>
      <c r="AJ86" s="87"/>
      <c r="AK86" s="86"/>
    </row>
    <row r="87" ht="19.5" customHeight="1">
      <c r="A87" s="81"/>
      <c r="B87" s="82" t="s">
        <v>2</v>
      </c>
      <c r="C87" s="50"/>
      <c r="D87" s="50"/>
      <c r="E87" s="50"/>
      <c r="F87" s="50"/>
      <c r="G87" s="50"/>
      <c r="H87" s="50"/>
      <c r="I87" s="50"/>
      <c r="J87" s="77"/>
      <c r="K87" s="89"/>
      <c r="M87" s="84" t="s">
        <v>52</v>
      </c>
      <c r="N87" s="89">
        <v>28.0</v>
      </c>
      <c r="O87" s="89">
        <v>30.0</v>
      </c>
      <c r="P87" s="89">
        <v>32.0</v>
      </c>
      <c r="Q87" s="89">
        <v>34.0</v>
      </c>
      <c r="R87" s="89">
        <v>36.0</v>
      </c>
      <c r="S87" s="89">
        <v>38.0</v>
      </c>
      <c r="T87" s="89">
        <v>40.0</v>
      </c>
      <c r="U87" s="89"/>
      <c r="V87" s="89"/>
      <c r="W87" s="89"/>
      <c r="X87" s="86"/>
      <c r="Z87" s="84" t="s">
        <v>52</v>
      </c>
      <c r="AA87" s="89">
        <v>28.0</v>
      </c>
      <c r="AB87" s="89">
        <v>30.0</v>
      </c>
      <c r="AC87" s="89">
        <v>32.0</v>
      </c>
      <c r="AD87" s="89">
        <v>34.0</v>
      </c>
      <c r="AE87" s="89">
        <v>36.0</v>
      </c>
      <c r="AF87" s="89">
        <v>38.0</v>
      </c>
      <c r="AG87" s="89">
        <v>40.0</v>
      </c>
      <c r="AH87" s="89"/>
      <c r="AI87" s="89"/>
      <c r="AJ87" s="87"/>
      <c r="AK87" s="86"/>
    </row>
    <row r="88" ht="19.5" customHeight="1">
      <c r="A88" s="81" t="s">
        <v>52</v>
      </c>
      <c r="B88" s="89">
        <v>28.0</v>
      </c>
      <c r="C88" s="89">
        <v>30.0</v>
      </c>
      <c r="D88" s="89">
        <v>32.0</v>
      </c>
      <c r="E88" s="89">
        <v>34.0</v>
      </c>
      <c r="F88" s="89">
        <v>36.0</v>
      </c>
      <c r="G88" s="89">
        <v>38.0</v>
      </c>
      <c r="H88" s="89">
        <v>40.0</v>
      </c>
      <c r="I88" s="89"/>
      <c r="J88" s="90"/>
      <c r="K88" s="114"/>
      <c r="M88" s="84"/>
      <c r="N88" s="112" t="s">
        <v>4</v>
      </c>
      <c r="O88" s="112" t="s">
        <v>53</v>
      </c>
      <c r="P88" s="112" t="s">
        <v>54</v>
      </c>
      <c r="Q88" s="112" t="s">
        <v>55</v>
      </c>
      <c r="R88" s="112" t="s">
        <v>56</v>
      </c>
      <c r="S88" s="112" t="s">
        <v>9</v>
      </c>
      <c r="T88" s="112" t="s">
        <v>10</v>
      </c>
      <c r="U88" s="112" t="s">
        <v>11</v>
      </c>
      <c r="V88" s="112" t="s">
        <v>12</v>
      </c>
      <c r="W88" s="134" t="s">
        <v>49</v>
      </c>
      <c r="X88" s="86"/>
      <c r="Z88" s="84"/>
      <c r="AA88" s="112" t="s">
        <v>4</v>
      </c>
      <c r="AB88" s="112" t="s">
        <v>53</v>
      </c>
      <c r="AC88" s="112" t="s">
        <v>54</v>
      </c>
      <c r="AD88" s="112" t="s">
        <v>55</v>
      </c>
      <c r="AE88" s="112" t="s">
        <v>56</v>
      </c>
      <c r="AF88" s="112" t="s">
        <v>9</v>
      </c>
      <c r="AG88" s="112" t="s">
        <v>10</v>
      </c>
      <c r="AH88" s="112" t="s">
        <v>11</v>
      </c>
      <c r="AI88" s="112" t="s">
        <v>12</v>
      </c>
      <c r="AJ88" s="113" t="s">
        <v>49</v>
      </c>
      <c r="AK88" s="86"/>
    </row>
    <row r="89" ht="19.5" customHeight="1">
      <c r="A89" s="81"/>
      <c r="B89" s="112" t="s">
        <v>4</v>
      </c>
      <c r="C89" s="112" t="s">
        <v>53</v>
      </c>
      <c r="D89" s="112" t="s">
        <v>54</v>
      </c>
      <c r="E89" s="112" t="s">
        <v>55</v>
      </c>
      <c r="F89" s="112" t="s">
        <v>56</v>
      </c>
      <c r="G89" s="112" t="s">
        <v>9</v>
      </c>
      <c r="H89" s="112" t="s">
        <v>10</v>
      </c>
      <c r="I89" s="112" t="s">
        <v>11</v>
      </c>
      <c r="J89" s="85" t="s">
        <v>12</v>
      </c>
      <c r="K89" s="119" t="s">
        <v>49</v>
      </c>
      <c r="M89" s="84" t="s">
        <v>59</v>
      </c>
      <c r="N89" s="89">
        <f>0+3+5+1+1</f>
        <v>10</v>
      </c>
      <c r="O89" s="89">
        <f>0+4+10-1+1-1-1+1+1-7-5+10+1+6-1+1-1+1</f>
        <v>19</v>
      </c>
      <c r="P89" s="89">
        <f>0+5+10-1+1-7-4+4+1-1+1-1+11-1+1-8+6</f>
        <v>17</v>
      </c>
      <c r="Q89" s="89">
        <f>0+2-1+10+1-1+1-5-7+1+3-2+2-4+6</f>
        <v>6</v>
      </c>
      <c r="R89" s="89">
        <f>0+41+1-1+1-13+13</f>
        <v>42</v>
      </c>
      <c r="S89" s="89">
        <f>0+4+4-2-3+2-2+2-1+1</f>
        <v>5</v>
      </c>
      <c r="T89" s="89">
        <f>0+3-1+5+1-1+2</f>
        <v>9</v>
      </c>
      <c r="U89" s="89">
        <f>0+1+2</f>
        <v>3</v>
      </c>
      <c r="V89" s="89">
        <f>0+2+2</f>
        <v>4</v>
      </c>
      <c r="W89" s="135">
        <f t="shared" ref="W89:W90" si="115">SUM(N89:V89)</f>
        <v>115</v>
      </c>
      <c r="X89" s="115"/>
      <c r="Z89" s="84" t="s">
        <v>59</v>
      </c>
      <c r="AA89" s="89">
        <f>0+2-1-1+2+1-1-2+1+2-1+1-1+1-1+1+1-2+1</f>
        <v>3</v>
      </c>
      <c r="AB89" s="89">
        <f>0+1-1+5+1-1-1-1-3+1+1+3+1+7+1-4+4+1-1+1-2-8+2-1+1-1+1+1+1</f>
        <v>9</v>
      </c>
      <c r="AC89" s="89">
        <f>0+1+1+1-1+5+1-1-1-1+1-1-1+1+1+1-6-1+1-1+1+1+1+6+1-7+7-1+1+1-3-2+1+3+1-1+1+1+1</f>
        <v>13</v>
      </c>
      <c r="AD89" s="89">
        <f>0+2+1+1-1-1+1+1-1+5-1-1-1+1+1-1-6+1-1+4+1+1+1-1+3+1+1-11+1+6-6+6+1+1+1+2-2+2+1-1+1+1+1-1-1</f>
        <v>13</v>
      </c>
      <c r="AE89" s="89">
        <f>0+2-1+5+1-1-1+1+1-3-1-1-1+1+1+3+2-1-1-1+1-3+1+1+1+3-3+3-9+1+1-2+2+1+1+2+3-1+1+1+1</f>
        <v>11</v>
      </c>
      <c r="AF89" s="89">
        <f>0+1-1+3+1-1+1-1+1+1-2+2-1+1+2+1-1-2+1+1+2-2-1+1+1+1</f>
        <v>9</v>
      </c>
      <c r="AG89" s="89">
        <f>0+1-1+2+1-1+1-1+1+1-1+1+1+1+1-2</f>
        <v>5</v>
      </c>
      <c r="AH89" s="89">
        <f>0+2-1+1-1+1+1-3+3+1</f>
        <v>4</v>
      </c>
      <c r="AI89" s="89">
        <f>0+4-1+1-1+1+1</f>
        <v>5</v>
      </c>
      <c r="AJ89" s="89">
        <f t="shared" ref="AJ89:AJ90" si="116">SUM(AA89:AI89)</f>
        <v>72</v>
      </c>
      <c r="AK89" s="115"/>
    </row>
    <row r="90" ht="19.5" customHeight="1">
      <c r="A90" s="84" t="s">
        <v>57</v>
      </c>
      <c r="B90" s="89">
        <f>0+1-1</f>
        <v>0</v>
      </c>
      <c r="C90" s="100">
        <f>0+1-1+1+1-1</f>
        <v>1</v>
      </c>
      <c r="D90" s="89">
        <f>0+4-4+4-1-1+1-1+1-3+1+2-2-1+1</f>
        <v>1</v>
      </c>
      <c r="E90" s="100">
        <f>0+4-2+2-1-1-1-1+1+2-1+3-2-2-1+1</f>
        <v>1</v>
      </c>
      <c r="F90" s="89">
        <f>0+6-2+2+1+1-1+1-1-1-2-1+1+1+2</f>
        <v>7</v>
      </c>
      <c r="G90" s="89">
        <f>0+1-1+1-1+1-1</f>
        <v>0</v>
      </c>
      <c r="H90" s="89">
        <f>0+4+1-1+1-1+1</f>
        <v>5</v>
      </c>
      <c r="I90" s="89">
        <f>0+1</f>
        <v>1</v>
      </c>
      <c r="J90" s="89">
        <f>0</f>
        <v>0</v>
      </c>
      <c r="K90" s="114">
        <f t="shared" ref="K90:K93" si="119">SUM(B90:J90)</f>
        <v>16</v>
      </c>
      <c r="M90" s="84" t="s">
        <v>60</v>
      </c>
      <c r="N90" s="89">
        <f>0+3+5</f>
        <v>8</v>
      </c>
      <c r="O90" s="89">
        <f>0+2-1-1+10+1+1+1</f>
        <v>13</v>
      </c>
      <c r="P90" s="89">
        <f>15+1</f>
        <v>16</v>
      </c>
      <c r="Q90" s="89">
        <f>0+3-1+1+1</f>
        <v>4</v>
      </c>
      <c r="R90" s="89">
        <f>0+2-1+1+8+1+1-1</f>
        <v>11</v>
      </c>
      <c r="S90" s="89">
        <f>0+3-1+1+8+1-1+1-2</f>
        <v>10</v>
      </c>
      <c r="T90" s="100">
        <f>0+3-1+1+5+1</f>
        <v>9</v>
      </c>
      <c r="U90" s="89">
        <f>0+3+2+1</f>
        <v>6</v>
      </c>
      <c r="V90" s="89">
        <f>0+1+2</f>
        <v>3</v>
      </c>
      <c r="W90" s="135">
        <f t="shared" si="115"/>
        <v>80</v>
      </c>
      <c r="X90" s="136">
        <f>SUM(W90,W89)</f>
        <v>195</v>
      </c>
      <c r="Y90" s="102" t="s">
        <v>58</v>
      </c>
      <c r="Z90" s="84" t="s">
        <v>60</v>
      </c>
      <c r="AA90" s="89">
        <f>0+1+2-1-1+1-1+1+1</f>
        <v>3</v>
      </c>
      <c r="AB90" s="89">
        <f>0+3+5-1+1-1+1-1+1-1+1</f>
        <v>8</v>
      </c>
      <c r="AC90" s="89">
        <f>0+2+1+1-1+1+5-1-1+1+1-1-1+1-2-1+1+2-1+1+1-1+1+1</f>
        <v>10</v>
      </c>
      <c r="AD90" s="89">
        <f>0+1+4-1+1-4+1+6-2+1+4-1+1</f>
        <v>11</v>
      </c>
      <c r="AE90" s="89">
        <f>0+3-2+2+5-1+1-5-1+5-1-5+1-1+2-1+1</f>
        <v>3</v>
      </c>
      <c r="AF90" s="89">
        <f>0+1+3-1+1-1-1+2-1-3+3-1+1+1</f>
        <v>4</v>
      </c>
      <c r="AG90" s="89">
        <f>0+4+2-1+1-1+2</f>
        <v>7</v>
      </c>
      <c r="AH90" s="89">
        <f>0+1</f>
        <v>1</v>
      </c>
      <c r="AI90" s="89">
        <f>0+2+1</f>
        <v>3</v>
      </c>
      <c r="AJ90" s="89">
        <f t="shared" si="116"/>
        <v>50</v>
      </c>
      <c r="AK90" s="118">
        <f>SUM(AJ89:AJ90)</f>
        <v>122</v>
      </c>
    </row>
    <row r="91" ht="19.5" customHeight="1">
      <c r="A91" s="106" t="s">
        <v>91</v>
      </c>
      <c r="B91" s="89">
        <f t="shared" ref="B91:C91" si="117">0+1</f>
        <v>1</v>
      </c>
      <c r="C91" s="89">
        <f t="shared" si="117"/>
        <v>1</v>
      </c>
      <c r="D91" s="89">
        <f>0+3-1+1+1-1</f>
        <v>3</v>
      </c>
      <c r="E91" s="89">
        <f>0+1-1+1</f>
        <v>1</v>
      </c>
      <c r="F91" s="89">
        <f>0+2+1</f>
        <v>3</v>
      </c>
      <c r="G91" s="89">
        <f t="shared" ref="G91:G92" si="120">0+1</f>
        <v>1</v>
      </c>
      <c r="H91" s="89">
        <f t="shared" ref="H91:J91" si="118">0</f>
        <v>0</v>
      </c>
      <c r="I91" s="89">
        <f t="shared" si="118"/>
        <v>0</v>
      </c>
      <c r="J91" s="89">
        <f t="shared" si="118"/>
        <v>0</v>
      </c>
      <c r="K91" s="114">
        <f t="shared" si="119"/>
        <v>10</v>
      </c>
      <c r="AD91" s="120" t="s">
        <v>96</v>
      </c>
    </row>
    <row r="92" ht="19.5" customHeight="1">
      <c r="A92" s="84" t="s">
        <v>92</v>
      </c>
      <c r="B92" s="89">
        <f>0+2-1+1</f>
        <v>2</v>
      </c>
      <c r="C92" s="89">
        <f>0+4-3+3</f>
        <v>4</v>
      </c>
      <c r="D92" s="89">
        <f>0+1-1+1</f>
        <v>1</v>
      </c>
      <c r="E92" s="89">
        <f>0+1-1+1-1</f>
        <v>0</v>
      </c>
      <c r="F92" s="89">
        <f>0+2-1+1-1+1-1+1+1-2+2-1+1-2+2</f>
        <v>3</v>
      </c>
      <c r="G92" s="89">
        <f t="shared" si="120"/>
        <v>1</v>
      </c>
      <c r="H92" s="89">
        <f>0+2+2-1-1+1-3+3+1-1-1</f>
        <v>2</v>
      </c>
      <c r="I92" s="89">
        <f>0+1</f>
        <v>1</v>
      </c>
      <c r="J92" s="89">
        <f>0+1-1+1</f>
        <v>1</v>
      </c>
      <c r="K92" s="114">
        <f t="shared" si="119"/>
        <v>15</v>
      </c>
      <c r="Z92" s="76" t="s">
        <v>97</v>
      </c>
      <c r="AA92" s="50"/>
      <c r="AB92" s="50"/>
      <c r="AC92" s="50"/>
      <c r="AD92" s="50"/>
      <c r="AE92" s="50"/>
      <c r="AF92" s="50"/>
      <c r="AG92" s="50"/>
      <c r="AH92" s="50"/>
      <c r="AI92" s="50"/>
      <c r="AJ92" s="77"/>
      <c r="AK92" s="78" t="s">
        <v>49</v>
      </c>
    </row>
    <row r="93" ht="19.5" customHeight="1">
      <c r="A93" s="106" t="s">
        <v>43</v>
      </c>
      <c r="B93" s="89">
        <f>0+2</f>
        <v>2</v>
      </c>
      <c r="C93" s="89">
        <f>0+1-1+1+1-1+1-1-1+1</f>
        <v>1</v>
      </c>
      <c r="D93" s="89">
        <f>0+1-1+1-1+5+1+1-1+1-2-1-3+3-1+1-1+1-2+2</f>
        <v>4</v>
      </c>
      <c r="E93" s="89">
        <f>1+1-1-1+1-1+1-1+1-1+1-1+1</f>
        <v>1</v>
      </c>
      <c r="F93" s="89">
        <f>0+2+1-1+1-1-1+1-1+1-2+1-1+2</f>
        <v>2</v>
      </c>
      <c r="G93" s="89">
        <f>0+1-1+1-1+1</f>
        <v>1</v>
      </c>
      <c r="H93" s="89">
        <f>0</f>
        <v>0</v>
      </c>
      <c r="I93" s="89">
        <f>0+1-1+1</f>
        <v>1</v>
      </c>
      <c r="J93" s="89">
        <f>0+1</f>
        <v>1</v>
      </c>
      <c r="K93" s="114">
        <f t="shared" si="119"/>
        <v>13</v>
      </c>
      <c r="Z93" s="107"/>
      <c r="AA93" s="82" t="s">
        <v>42</v>
      </c>
      <c r="AB93" s="50"/>
      <c r="AC93" s="50"/>
      <c r="AD93" s="50"/>
      <c r="AE93" s="50"/>
      <c r="AF93" s="50"/>
      <c r="AG93" s="50"/>
      <c r="AH93" s="50"/>
      <c r="AI93" s="51"/>
      <c r="AJ93" s="87"/>
      <c r="AK93" s="86"/>
    </row>
    <row r="94" ht="19.5" customHeight="1">
      <c r="A94" s="122"/>
      <c r="B94" s="79"/>
      <c r="C94" s="79"/>
      <c r="D94" s="79"/>
      <c r="E94" s="79"/>
      <c r="F94" s="79"/>
      <c r="G94" s="79"/>
      <c r="H94" s="79"/>
      <c r="I94" s="79"/>
      <c r="J94" s="79"/>
      <c r="K94" s="105">
        <f>SUM(K90:K93)</f>
        <v>54</v>
      </c>
      <c r="Z94" s="84" t="s">
        <v>52</v>
      </c>
      <c r="AA94" s="89">
        <v>42.0</v>
      </c>
      <c r="AB94" s="89">
        <v>44.0</v>
      </c>
      <c r="AC94" s="89">
        <v>46.0</v>
      </c>
      <c r="AD94" s="89">
        <v>48.0</v>
      </c>
      <c r="AE94" s="89">
        <v>50.0</v>
      </c>
      <c r="AF94" s="89">
        <v>52.0</v>
      </c>
      <c r="AG94" s="89">
        <v>54.0</v>
      </c>
      <c r="AH94" s="89"/>
      <c r="AI94" s="89"/>
      <c r="AJ94" s="87"/>
      <c r="AK94" s="86"/>
    </row>
    <row r="95" ht="19.5" customHeigh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79"/>
      <c r="Z95" s="84"/>
      <c r="AA95" s="112" t="s">
        <v>4</v>
      </c>
      <c r="AB95" s="112" t="s">
        <v>53</v>
      </c>
      <c r="AC95" s="112" t="s">
        <v>54</v>
      </c>
      <c r="AD95" s="112" t="s">
        <v>55</v>
      </c>
      <c r="AE95" s="112" t="s">
        <v>56</v>
      </c>
      <c r="AF95" s="112" t="s">
        <v>9</v>
      </c>
      <c r="AG95" s="112" t="s">
        <v>10</v>
      </c>
      <c r="AH95" s="112" t="s">
        <v>11</v>
      </c>
      <c r="AI95" s="112" t="s">
        <v>12</v>
      </c>
      <c r="AJ95" s="113" t="s">
        <v>49</v>
      </c>
      <c r="AK95" s="86"/>
    </row>
    <row r="96" ht="32.25" customHeight="1">
      <c r="A96" s="138" t="s">
        <v>98</v>
      </c>
      <c r="B96" s="50"/>
      <c r="C96" s="50"/>
      <c r="D96" s="50"/>
      <c r="E96" s="50"/>
      <c r="F96" s="50"/>
      <c r="G96" s="50"/>
      <c r="H96" s="50"/>
      <c r="I96" s="50"/>
      <c r="J96" s="50"/>
      <c r="K96" s="51"/>
      <c r="Z96" s="139" t="s">
        <v>59</v>
      </c>
      <c r="AA96" s="140">
        <f>0+5-1+1+2</f>
        <v>7</v>
      </c>
      <c r="AB96" s="140">
        <f>0+2+2+1-2+10+1+1-1-1+1+1+2</f>
        <v>17</v>
      </c>
      <c r="AC96" s="140">
        <f>0+2+2+1-1-1-1+10+1+1+1+1-1+1-1-1-1+1+1-1+2+1-3+1+1-1+1</f>
        <v>16</v>
      </c>
      <c r="AD96" s="140">
        <f>0+2-1+1+4+3+1-1-1-1-1-1+10+1+1+1-2+2-1+1+2-1+1</f>
        <v>20</v>
      </c>
      <c r="AE96" s="140">
        <f>0+1-1+1+2+3-4+5+1+1-1-1-1+1+1-1-4+1+4-1+1+2+1-1</f>
        <v>10</v>
      </c>
      <c r="AF96" s="140">
        <f>0+2-1+5+1-1+1+2+1-1-1+1</f>
        <v>9</v>
      </c>
      <c r="AG96" s="140">
        <f>0+1+3+1</f>
        <v>5</v>
      </c>
      <c r="AH96" s="140">
        <f>0+1+1</f>
        <v>2</v>
      </c>
      <c r="AI96" s="140">
        <f>0+1+1+1</f>
        <v>3</v>
      </c>
      <c r="AJ96" s="89">
        <f t="shared" ref="AJ96:AJ100" si="122">SUM(AA96:AI96)</f>
        <v>89</v>
      </c>
      <c r="AK96" s="86"/>
    </row>
    <row r="97" ht="19.5" customHeight="1">
      <c r="A97" s="141"/>
      <c r="B97" s="82" t="s">
        <v>1</v>
      </c>
      <c r="C97" s="50"/>
      <c r="D97" s="50"/>
      <c r="E97" s="50"/>
      <c r="F97" s="50"/>
      <c r="G97" s="50"/>
      <c r="H97" s="50"/>
      <c r="I97" s="50"/>
      <c r="J97" s="51"/>
      <c r="K97" s="114"/>
      <c r="Z97" s="139" t="s">
        <v>60</v>
      </c>
      <c r="AA97" s="140">
        <f>0+2+3-2</f>
        <v>3</v>
      </c>
      <c r="AB97" s="140">
        <f>0+2+5-2</f>
        <v>5</v>
      </c>
      <c r="AC97" s="140">
        <f>0+3-1+1-1+5+1-1+1-1+1+1+1-1-1+1-1</f>
        <v>8</v>
      </c>
      <c r="AD97" s="140">
        <f>0+5-1+1-1-1-1+1+1+1-1+1-1+1+1</f>
        <v>6</v>
      </c>
      <c r="AE97" s="140">
        <f t="shared" ref="AE97:AF97" si="121">0+3-1+1</f>
        <v>3</v>
      </c>
      <c r="AF97" s="140">
        <f t="shared" si="121"/>
        <v>3</v>
      </c>
      <c r="AG97" s="140">
        <f t="shared" ref="AG97:AG98" si="123">0+2</f>
        <v>2</v>
      </c>
      <c r="AH97" s="140">
        <f>0+1+1-1</f>
        <v>1</v>
      </c>
      <c r="AI97" s="140">
        <f>0+1</f>
        <v>1</v>
      </c>
      <c r="AJ97" s="89">
        <f t="shared" si="122"/>
        <v>32</v>
      </c>
      <c r="AK97" s="86"/>
    </row>
    <row r="98" ht="19.5" customHeight="1">
      <c r="A98" s="81" t="s">
        <v>52</v>
      </c>
      <c r="B98" s="89">
        <v>28.0</v>
      </c>
      <c r="C98" s="89">
        <v>30.0</v>
      </c>
      <c r="D98" s="89">
        <v>32.0</v>
      </c>
      <c r="E98" s="89">
        <v>34.0</v>
      </c>
      <c r="F98" s="89">
        <v>36.0</v>
      </c>
      <c r="G98" s="89">
        <v>38.0</v>
      </c>
      <c r="H98" s="89">
        <v>40.0</v>
      </c>
      <c r="I98" s="89"/>
      <c r="J98" s="89"/>
      <c r="K98" s="114"/>
      <c r="Z98" s="139" t="s">
        <v>57</v>
      </c>
      <c r="AA98" s="140">
        <f>0+2</f>
        <v>2</v>
      </c>
      <c r="AB98" s="140">
        <f>0</f>
        <v>0</v>
      </c>
      <c r="AC98" s="142">
        <f>0+2-1+1+1</f>
        <v>3</v>
      </c>
      <c r="AD98" s="140">
        <f>0+2</f>
        <v>2</v>
      </c>
      <c r="AE98" s="140">
        <f>0+3+2</f>
        <v>5</v>
      </c>
      <c r="AF98" s="140">
        <f>0+1</f>
        <v>1</v>
      </c>
      <c r="AG98" s="140">
        <f t="shared" si="123"/>
        <v>2</v>
      </c>
      <c r="AH98" s="140">
        <f t="shared" ref="AH98:AI98" si="124">0+1+1</f>
        <v>2</v>
      </c>
      <c r="AI98" s="140">
        <f t="shared" si="124"/>
        <v>2</v>
      </c>
      <c r="AJ98" s="89">
        <f t="shared" si="122"/>
        <v>19</v>
      </c>
      <c r="AK98" s="86"/>
    </row>
    <row r="99" ht="19.5" customHeight="1">
      <c r="A99" s="143" t="s">
        <v>99</v>
      </c>
      <c r="B99" s="112" t="s">
        <v>4</v>
      </c>
      <c r="C99" s="112" t="s">
        <v>53</v>
      </c>
      <c r="D99" s="112" t="s">
        <v>54</v>
      </c>
      <c r="E99" s="112" t="s">
        <v>55</v>
      </c>
      <c r="F99" s="112" t="s">
        <v>56</v>
      </c>
      <c r="G99" s="112" t="s">
        <v>9</v>
      </c>
      <c r="H99" s="112" t="s">
        <v>10</v>
      </c>
      <c r="I99" s="112" t="s">
        <v>11</v>
      </c>
      <c r="J99" s="112" t="s">
        <v>12</v>
      </c>
      <c r="K99" s="119" t="s">
        <v>49</v>
      </c>
      <c r="Z99" s="139" t="s">
        <v>43</v>
      </c>
      <c r="AA99" s="140">
        <f>0</f>
        <v>0</v>
      </c>
      <c r="AB99" s="140">
        <f t="shared" ref="AB99:AC99" si="125">0+2</f>
        <v>2</v>
      </c>
      <c r="AC99" s="140">
        <f t="shared" si="125"/>
        <v>2</v>
      </c>
      <c r="AD99" s="140">
        <f>0+1</f>
        <v>1</v>
      </c>
      <c r="AE99" s="140">
        <f t="shared" ref="AE99:AI99" si="126">0</f>
        <v>0</v>
      </c>
      <c r="AF99" s="140">
        <f t="shared" si="126"/>
        <v>0</v>
      </c>
      <c r="AG99" s="140">
        <f t="shared" si="126"/>
        <v>0</v>
      </c>
      <c r="AH99" s="140">
        <f t="shared" si="126"/>
        <v>0</v>
      </c>
      <c r="AI99" s="140">
        <f t="shared" si="126"/>
        <v>0</v>
      </c>
      <c r="AJ99" s="89">
        <f t="shared" si="122"/>
        <v>5</v>
      </c>
      <c r="AK99" s="115"/>
    </row>
    <row r="100" ht="19.5" customHeight="1">
      <c r="A100" s="84" t="s">
        <v>57</v>
      </c>
      <c r="B100" s="105">
        <f>14-1-3+1+3-1-1-1+1+1-1-1-10+1+1+10-1</f>
        <v>12</v>
      </c>
      <c r="C100" s="105">
        <f>21-2+2-1+1-1+1-1+1+1+1-1-19+19-1+1-1</f>
        <v>21</v>
      </c>
      <c r="D100" s="105">
        <f>21-1-4+4-3+3+1-1-1-1-1+1+1+1+1-1-20+1+1+20-1-1-1</f>
        <v>19</v>
      </c>
      <c r="E100" s="117">
        <f>19-1-1+1+1-2+2+2-1-1-1-1+1+1+1+1-20-1+18+1-1</f>
        <v>18</v>
      </c>
      <c r="F100" s="105">
        <f>13-1-2-1+1+2+1-2+2-1-1+1+1-10+10-1</f>
        <v>12</v>
      </c>
      <c r="G100" s="105">
        <f>23-1-6+1+6</f>
        <v>23</v>
      </c>
      <c r="H100" s="105">
        <f>1-1+1</f>
        <v>1</v>
      </c>
      <c r="I100" s="105">
        <f>8-1</f>
        <v>7</v>
      </c>
      <c r="J100" s="105">
        <f>6</f>
        <v>6</v>
      </c>
      <c r="K100" s="140">
        <f t="shared" ref="K100:K112" si="129">SUM(B100:J100)</f>
        <v>119</v>
      </c>
      <c r="Z100" s="139" t="s">
        <v>17</v>
      </c>
      <c r="AA100" s="140">
        <f t="shared" ref="AA100:AB100" si="127">0+2</f>
        <v>2</v>
      </c>
      <c r="AB100" s="140">
        <f t="shared" si="127"/>
        <v>2</v>
      </c>
      <c r="AC100" s="140">
        <f>0+1+2-1</f>
        <v>2</v>
      </c>
      <c r="AD100" s="140">
        <f t="shared" ref="AD100:AF100" si="128">0+2</f>
        <v>2</v>
      </c>
      <c r="AE100" s="140">
        <f t="shared" si="128"/>
        <v>2</v>
      </c>
      <c r="AF100" s="140">
        <f t="shared" si="128"/>
        <v>2</v>
      </c>
      <c r="AG100" s="140">
        <f>0+1+2</f>
        <v>3</v>
      </c>
      <c r="AH100" s="140">
        <f>0+1+1</f>
        <v>2</v>
      </c>
      <c r="AI100" s="140">
        <f>0+2+1</f>
        <v>3</v>
      </c>
      <c r="AJ100" s="89">
        <f t="shared" si="122"/>
        <v>20</v>
      </c>
      <c r="AK100" s="118">
        <f>SUM(AJ96:AJ100)</f>
        <v>165</v>
      </c>
    </row>
    <row r="101" ht="19.5" customHeight="1">
      <c r="A101" s="106" t="s">
        <v>14</v>
      </c>
      <c r="B101" s="105">
        <f>13+1-1+1-6+6-1</f>
        <v>13</v>
      </c>
      <c r="C101" s="105">
        <f>14-1+1+1+1-2-1+2-1+1+1-1-1-6+1-3+6+1+3+6-1+1-1-1+1-1+1-1+1</f>
        <v>21</v>
      </c>
      <c r="D101" s="117">
        <f>22-1+2+2+1-3-1+3-1+1+1-4-1-1+1+4+1-1-1+1+1+1+1-3-2+3</f>
        <v>26</v>
      </c>
      <c r="E101" s="105">
        <f>15+1+1-2+2-1+1-1+1+1-1-1-1+1+1+1+1-1+1</f>
        <v>19</v>
      </c>
      <c r="F101" s="105">
        <f>23+1-2+2-1+1</f>
        <v>24</v>
      </c>
      <c r="G101" s="105">
        <f>19</f>
        <v>19</v>
      </c>
      <c r="H101" s="105">
        <f>11-6-1+6+1</f>
        <v>11</v>
      </c>
      <c r="I101" s="105">
        <f>9-1-1</f>
        <v>7</v>
      </c>
      <c r="J101" s="105">
        <f>8</f>
        <v>8</v>
      </c>
      <c r="K101" s="140">
        <f t="shared" si="129"/>
        <v>148</v>
      </c>
    </row>
    <row r="102" ht="21.0" customHeight="1">
      <c r="A102" s="84" t="s">
        <v>100</v>
      </c>
      <c r="B102" s="105">
        <f>10-1-1+1+1-1+1+1-1+1-1-1-1+1</f>
        <v>9</v>
      </c>
      <c r="C102" s="105">
        <f>11+1-1-1+1+1-1-3+1+3-2-1+2+1+1+2-3-1-1-1+1-1+1-3+3+1+1-1+1</f>
        <v>12</v>
      </c>
      <c r="D102" s="105">
        <f>9-1+1-1-1-3+1+1+1+3-2-1-1+2+1+1-2+2-2+1+2-1+1-1+1+1-1-1+1+1-1+1-3+3-1+1-1</f>
        <v>11</v>
      </c>
      <c r="E102" s="105">
        <f>17+1-1-1+1+1+1-1-1+1+1+1-2-1+2+1-1-3+3+1-1+1-2+1-1+1+1-1+1</f>
        <v>20</v>
      </c>
      <c r="F102" s="105">
        <f>10-1+1-1+1-3+3-1+1-1+1-1+1-1</f>
        <v>9</v>
      </c>
      <c r="G102" s="105">
        <f>9-1-1+1+1+1+1-1+1-1+1-1+1-1+1-1+1</f>
        <v>11</v>
      </c>
      <c r="H102" s="105">
        <f>11-1-1+1</f>
        <v>10</v>
      </c>
      <c r="I102" s="105">
        <f>7-1+1-1+1+1</f>
        <v>8</v>
      </c>
      <c r="J102" s="117">
        <f>7-1+1+1-1+1-1+1</f>
        <v>8</v>
      </c>
      <c r="K102" s="140">
        <f t="shared" si="129"/>
        <v>98</v>
      </c>
      <c r="Z102" s="76" t="s">
        <v>101</v>
      </c>
      <c r="AA102" s="50"/>
      <c r="AB102" s="50"/>
      <c r="AC102" s="50"/>
      <c r="AD102" s="50"/>
      <c r="AE102" s="50"/>
      <c r="AF102" s="50"/>
      <c r="AG102" s="50"/>
      <c r="AH102" s="50"/>
      <c r="AI102" s="50"/>
      <c r="AJ102" s="77"/>
      <c r="AK102" s="133" t="s">
        <v>49</v>
      </c>
    </row>
    <row r="103" ht="19.5" customHeight="1">
      <c r="A103" s="106" t="s">
        <v>102</v>
      </c>
      <c r="B103" s="105">
        <f>11-1+1-1+1-1-1+1+1-1+1-1+1-2+2-1+1-1-1+1+1-1-1+1+1-1+1-2+2</f>
        <v>11</v>
      </c>
      <c r="C103" s="105">
        <f>3-1+1-1-1+1-1-1+1+1+1-1+1-1+1-1-1+1+1+1-1+1-1-1+1+1+1-1-1+1-2+2-1-1+1+1-1+1-2+2-1-1+1+1</f>
        <v>4</v>
      </c>
      <c r="D103" s="105">
        <f>9+1+1-1-2-1+2+1-2+2+1+2-1-1+1+1-1+1-2+1+2+1-2-1+2-2+1-1-1-1-2+1+1+1+2-4-1+4-1+1-1+1+1-1-1+1+1-3+3-1-1+1+1</f>
        <v>13</v>
      </c>
      <c r="E103" s="105">
        <f>3-1-1+1+1+1-1+1+1-1-1+1+1+3-1-1+1-1+1+1-1+1-1-2+1-1+1+1+2+1+1-1-1+1+1-1-2-1+2+1+1-2-1-1+2+1+1-1-1+1+1+1-2+2-5+5-1-1</f>
        <v>10</v>
      </c>
      <c r="F103" s="105">
        <f>8-1-1-1+1+1-2-1-1+1-1+4+1+1+1+2-1-1-1+1+1-1+1+2+1-9+9-3+1-2+1-1+1-1+1-1-1+1-1+1+1+1-2-1+2+1</f>
        <v>12</v>
      </c>
      <c r="G103" s="105">
        <f>8-1+1-1+1-2+2-1+1-1+1-1-1-1+1+1+1</f>
        <v>8</v>
      </c>
      <c r="H103" s="105">
        <f>6-6+6</f>
        <v>6</v>
      </c>
      <c r="I103" s="105">
        <f>9-6+6-1+1-2+2+1</f>
        <v>10</v>
      </c>
      <c r="J103" s="105">
        <f>8-8+8-1+1</f>
        <v>8</v>
      </c>
      <c r="K103" s="140">
        <f t="shared" si="129"/>
        <v>82</v>
      </c>
      <c r="Z103" s="107"/>
      <c r="AA103" s="82" t="s">
        <v>1</v>
      </c>
      <c r="AB103" s="50"/>
      <c r="AC103" s="50"/>
      <c r="AD103" s="50"/>
      <c r="AE103" s="50"/>
      <c r="AF103" s="50"/>
      <c r="AG103" s="50"/>
      <c r="AH103" s="50"/>
      <c r="AI103" s="51"/>
      <c r="AJ103" s="87"/>
      <c r="AK103" s="86"/>
    </row>
    <row r="104" ht="19.5" customHeight="1">
      <c r="A104" s="106" t="s">
        <v>16</v>
      </c>
      <c r="B104" s="105">
        <f>10-1+1-1+1+1-1+1-1+1-1-1+1+2-2+2</f>
        <v>12</v>
      </c>
      <c r="C104" s="105">
        <f>9-1-1+1+1-2-1-1+2+1+1-4-2+2-1+4-1+1-3-1-1+1+3+1+1+1-5+5-1-1+1-1-2+2+1+1-2+2-2-1+2-2+2+1-1+1-1+1</f>
        <v>10</v>
      </c>
      <c r="D104" s="105">
        <f>14+1+3-1+1-1-1-1+1+1+1+1-6+1+6-1-1+1-1-1+1-3-1-1-1+1+1+1+3-1+1-11-1-1-1+1+14-5-1+5+1-4+4-3+3-1+1-1+1-1</f>
        <v>18</v>
      </c>
      <c r="E104" s="105">
        <f>10-1-2-1-1-1+2+1+1-1+1-2+1-1+1-5+1+2-1+1-3-1-1+1+1+3+5+1-1-1-5-1-2+1+1+2+5-1-1+1+1+8-8+1-1+1-2+1-1+1-2+2-5+5+1</f>
        <v>11</v>
      </c>
      <c r="F104" s="105">
        <f>9-1-1-2-1+2+1+1+1+1-1-3-1+1+3-2+1+1-1+1-1-1+1+2+1-1-1-1-1-1-2-1+1+1+2-1+6-1-1-1+1+1-1+1-1+1-1-1-2+1+2+1-1-2+1+2</f>
        <v>11</v>
      </c>
      <c r="G104" s="105">
        <f>9-1-1+1-1+1-1+1-2-2+2+2-1+1-1+1-1-1+1+1-2-2+2</f>
        <v>6</v>
      </c>
      <c r="H104" s="105">
        <f>5-2-3+3-1-1+1+1</f>
        <v>3</v>
      </c>
      <c r="I104" s="105">
        <f>5-1+1-2+2</f>
        <v>5</v>
      </c>
      <c r="J104" s="105">
        <f>5+2</f>
        <v>7</v>
      </c>
      <c r="K104" s="140">
        <f t="shared" si="129"/>
        <v>83</v>
      </c>
      <c r="Z104" s="84" t="s">
        <v>52</v>
      </c>
      <c r="AA104" s="89">
        <v>28.0</v>
      </c>
      <c r="AB104" s="89">
        <v>30.0</v>
      </c>
      <c r="AC104" s="89">
        <v>32.0</v>
      </c>
      <c r="AD104" s="89">
        <v>34.0</v>
      </c>
      <c r="AE104" s="89">
        <v>36.0</v>
      </c>
      <c r="AF104" s="89">
        <v>38.0</v>
      </c>
      <c r="AG104" s="89">
        <v>40.0</v>
      </c>
      <c r="AH104" s="89"/>
      <c r="AI104" s="89"/>
      <c r="AJ104" s="87"/>
      <c r="AK104" s="86"/>
    </row>
    <row r="105" ht="19.5" customHeight="1">
      <c r="A105" s="106" t="s">
        <v>13</v>
      </c>
      <c r="B105" s="105">
        <f>8+1+1-1-1+1+1-2+2-2-1-1-1+1+1-1-2+1+1+2-1+1+1-1-1-2-1+1+1+2+1-1-1+1-1+1+1-1-1+1+1-1+1+1+1-1-1-1+1-1+1+1+1-1+1+1+1-1+1-2-6+2+6-1-1+1+1-1-1-1+1+1+1+1-1</f>
        <v>13</v>
      </c>
      <c r="C105" s="117">
        <f>13-2-3+1+3-1+3+2-1-1+1-1+1+1+3-3+1-1-1-1+1-2+1+1+2+1-1+1+1-1-1-1-1+1-3+1+1+1-2+2-1+3+1-2-1-1-1-2+2+1+1+1+1+2-3-6-1+1-1-1-1-1-1+6+3+1-1-1-1+1+1+1+3-2+1-2-1+2-1-1+1+1+1-2-4+1+2-1+4+1-1+1+1-1-1+1-1+1+2-1+1+1+1-1-1-1+1-1-1-1+1+1-1+1+2+1-3-1-1+2-1+1-1+1+1-3+3-1+1+1-2-1+2+1-1-1+1-1-2-1-1-1+1+2+1+1+1-12+1+12-2-1+2+1-1-1-1+1+1-1+1+1-6-3-1+6+1+3-1-1+1</f>
        <v>21</v>
      </c>
      <c r="D105" s="105">
        <f>2-2+1+3+1+1+2+2+1+1-1-1+1+1-1-1+1+1-1+1-1-1-1+1+1-1+1+1-1-1-1-1-1-1+1-3+1+1+1+1-2+1+1+1+2-1-1-1+3-3+1-6-2+1+1-2+6-1+2+1+3+1+2-2-3+1-2+1+1-1+3+2-1-2+1-1+4+2-1-1-2-1+1-1+1+1+1+2-5-1+1+1-1+1-6-1-2-1-2+4-1+1+2+2+1+9-13-3-1+1+1+5-1-1+1-1-1+1-1-1+1+3+1+1-3-5+1-4+5+3-1+1-2-1+4-3+2+1-1-1+3-3-1+1-1+1+3+1+1-1-1-6+1+1+6-2-4-1-1-2-1+2+4+1+1-1+2+1+1-3+3-1-1+1-4+1-1+1-1-1+1+1+4+1-6-2-2-1-1-1-1+6+2+1+2+1+1+1+1-1</f>
        <v>14</v>
      </c>
      <c r="E105" s="105">
        <f>11-2+1+1+1+4+2-1-1+1-5-1+1+1+5+1-1+1+1-3+3+1+1-1-1-1+1+1-3-1+1-1+3-2+1+1-1+1+2-2-1-1+2+1-1-1-1-1+1+1+1-1+3-2+1-2+1-2-1+1+1+2+1+2-2-1-1+1+2-1-2+1+1-1+1+1+1+2-3-1-1+1-1+1-1-3+1-1+1+1+3-2+1-1-1+1-1-2-1+1+1+2+1+1-1+1+3-1-2+1-1+1+1-1-1-5-1+1+1+1+5+1-1-12+12-1-1+1+1-19+1+19-2-4+2+4-1-1+1-1+1+1-4-1+4+1+1-1</f>
        <v>26</v>
      </c>
      <c r="F105" s="117">
        <f>0+7+1-1-1-2+1+1+1+1+3+1-1-1-1-1-1+1+1+1-1-1-1+1+1+1-3-1+3+1-2+2+1-2+2+1-1-2+1+1-1+1+1-2-1-1+2-1+1+1-1+1+1-1+1-1-4+1+4+1-1+1+1+1+1-1</f>
        <v>15</v>
      </c>
      <c r="G105" s="105">
        <f>2+1+1+3+1-1+1-2+1-1+2-1+1+1-1+1+1-1-4+1+1-1-1-2-2-1+1+1+2-1+4+1+1+2-1-1-2+1+1-5+2+1+3+2-3-1-1-1+1-1+1-1-1+1+1-1-1+1+1+1</f>
        <v>8</v>
      </c>
      <c r="H105" s="105">
        <f>6+1-1+1-1-1+1-2-1+1+2-1+1+1-2+1-1+2-1+1+1-1-1+1-1-1+1+1-1+1+1-1+1+1-1+1-1+1+1-6-1+6+1-1+1+1</f>
        <v>11</v>
      </c>
      <c r="I105" s="105">
        <f>4+1-1+1-1+1+1-1+1-1+1-1+1-1-3+1+2-1-1+1+1-1+1-1-3+3-1+1</f>
        <v>4</v>
      </c>
      <c r="J105" s="105">
        <f>5+1-1-1+1+1-1-1+1-1+1+1-1+1-6+6-1+2-1+1+1</f>
        <v>8</v>
      </c>
      <c r="K105" s="140">
        <f t="shared" si="129"/>
        <v>120</v>
      </c>
      <c r="N105" s="99"/>
      <c r="Z105" s="84"/>
      <c r="AA105" s="112" t="s">
        <v>4</v>
      </c>
      <c r="AB105" s="112" t="s">
        <v>53</v>
      </c>
      <c r="AC105" s="112" t="s">
        <v>54</v>
      </c>
      <c r="AD105" s="112" t="s">
        <v>55</v>
      </c>
      <c r="AE105" s="112" t="s">
        <v>56</v>
      </c>
      <c r="AF105" s="112" t="s">
        <v>9</v>
      </c>
      <c r="AG105" s="112" t="s">
        <v>10</v>
      </c>
      <c r="AH105" s="112" t="s">
        <v>11</v>
      </c>
      <c r="AI105" s="112" t="s">
        <v>12</v>
      </c>
      <c r="AJ105" s="113" t="s">
        <v>49</v>
      </c>
      <c r="AK105" s="86"/>
    </row>
    <row r="106" ht="19.5" customHeight="1">
      <c r="A106" s="106" t="s">
        <v>20</v>
      </c>
      <c r="B106" s="117">
        <f>4-1+1-1+1-2+1-1+1+2-1-1+1+1-1+1-1+1</f>
        <v>5</v>
      </c>
      <c r="C106" s="117">
        <f>11+1-1+1+1-1-3+3-1+1-1-1+1+1-2+1+2-1-1+1+1-2-1+2-1-1+1-1+1+1-4+4-1-1+1+1+1</f>
        <v>13</v>
      </c>
      <c r="D106" s="105">
        <f>11+1-1+1-1-3-1+3-1-3+1+3-1+1+1-2+2-1-1+1-1+1+1-4-1-1+1+4+1+1-1+1-1-1-2+1+2-1-4+1+4+1-1-3+3+1-1-1-1</f>
        <v>9</v>
      </c>
      <c r="E106" s="117">
        <f>9-5+5-1+1-3+1+1+2-1-1-1+1+1-1+1-1+1-1-1+1+1+1+1+1-1-1-2+1+1+2-1-1-3+1+3+1-5-1+5+1-2+2-1-2+1+2-1</f>
        <v>11</v>
      </c>
      <c r="F106" s="105">
        <f>11-1-1-1-1+1-1+1-1+1+1-2+2-1-1+1+1-1+1-1-1+1+1-2+2-1+1</f>
        <v>9</v>
      </c>
      <c r="G106" s="105">
        <f>7-3+3-1-1-1+1+1-1+1+1+1-1+1-1+1</f>
        <v>8</v>
      </c>
      <c r="H106" s="105">
        <f>7+3-2+2-1-1-1+1+1+1+1-1-1+1+1-1-1+1</f>
        <v>10</v>
      </c>
      <c r="I106" s="105">
        <f>K10607+7-1+1-1+1-1+2+1+1</f>
        <v>10</v>
      </c>
      <c r="J106" s="105">
        <f>8-1+1</f>
        <v>8</v>
      </c>
      <c r="K106" s="140">
        <f t="shared" si="129"/>
        <v>83</v>
      </c>
      <c r="Y106" s="102" t="s">
        <v>58</v>
      </c>
      <c r="Z106" s="84" t="s">
        <v>59</v>
      </c>
      <c r="AA106" s="105">
        <f>0+2+2+1</f>
        <v>5</v>
      </c>
      <c r="AB106" s="105">
        <f>1+2-1-1+1-1+1+1</f>
        <v>3</v>
      </c>
      <c r="AC106" s="105">
        <f>0+2-1+1+1-1-1+1-1-1+1+1-1+1+3-1</f>
        <v>4</v>
      </c>
      <c r="AD106" s="105">
        <f>0+1+2-1-1+1-1+1+1</f>
        <v>3</v>
      </c>
      <c r="AE106" s="105">
        <f>0+1+1+2-1-1+1-1+1-1+1</f>
        <v>3</v>
      </c>
      <c r="AF106" s="105">
        <f>0+2+2-1-1+1+1+1</f>
        <v>5</v>
      </c>
      <c r="AG106" s="105">
        <f>0+1+2-1+1</f>
        <v>3</v>
      </c>
      <c r="AH106" s="89">
        <f>0+1+1-1+1</f>
        <v>2</v>
      </c>
      <c r="AI106" s="105">
        <f>0+1+1+3-2</f>
        <v>3</v>
      </c>
      <c r="AJ106" s="89">
        <f t="shared" ref="AJ106:AJ107" si="132">SUM(AA106:AI106)</f>
        <v>31</v>
      </c>
      <c r="AK106" s="115"/>
    </row>
    <row r="107" ht="19.5" customHeight="1">
      <c r="A107" s="106" t="s">
        <v>103</v>
      </c>
      <c r="B107" s="105">
        <f>6+1-1+1-1-1</f>
        <v>5</v>
      </c>
      <c r="C107" s="105">
        <f>5+1-1+1-1+1-1+1+1-1+1-1+1+1-2-1-1</f>
        <v>4</v>
      </c>
      <c r="D107" s="105">
        <f>6+1-1-1+1-2+2-1+1-2+2-1+1-1+1-1+1-1+1+1-2+2-1+1-1+2</f>
        <v>8</v>
      </c>
      <c r="E107" s="105">
        <f>0+6-2+2-1+1-1+1-1-1+1-1+1-1-1+1+1-1+1+1</f>
        <v>6</v>
      </c>
      <c r="F107" s="105">
        <f>5+1-3+3-1-5+1+5-2+2-1-1+1+1+1+1+1</f>
        <v>9</v>
      </c>
      <c r="G107" s="105">
        <f>0+1+3-1-2+1+1+2+1-1+1-1-1+1+1+1-2+2-1-1+1+1-1+1</f>
        <v>7</v>
      </c>
      <c r="H107" s="105">
        <f>4+1-1+1-1+1-1</f>
        <v>4</v>
      </c>
      <c r="I107" s="105">
        <f t="shared" ref="I107:J107" si="130">4+1</f>
        <v>5</v>
      </c>
      <c r="J107" s="105">
        <f t="shared" si="130"/>
        <v>5</v>
      </c>
      <c r="K107" s="140">
        <f t="shared" si="129"/>
        <v>53</v>
      </c>
      <c r="Y107" s="102" t="s">
        <v>58</v>
      </c>
      <c r="Z107" s="84" t="s">
        <v>60</v>
      </c>
      <c r="AA107" s="105">
        <f>0+1+2-1+1-1+1</f>
        <v>3</v>
      </c>
      <c r="AB107" s="105">
        <f>0+1-1+1+1+2-1+1+1-1</f>
        <v>4</v>
      </c>
      <c r="AC107" s="105">
        <f>0+1-1+1+1+2-1+1-1-1+4-2</f>
        <v>4</v>
      </c>
      <c r="AD107" s="105">
        <f>0+2+2-1+1</f>
        <v>4</v>
      </c>
      <c r="AE107" s="105">
        <f>0+2+2-1+1+1-1</f>
        <v>4</v>
      </c>
      <c r="AF107" s="105">
        <f>0+1-1+1+2+1-1</f>
        <v>3</v>
      </c>
      <c r="AG107" s="105">
        <f>0+1+2+1</f>
        <v>4</v>
      </c>
      <c r="AH107" s="89">
        <f t="shared" ref="AH107:AI107" si="131">0+1+1</f>
        <v>2</v>
      </c>
      <c r="AI107" s="89">
        <f t="shared" si="131"/>
        <v>2</v>
      </c>
      <c r="AJ107" s="89">
        <f t="shared" si="132"/>
        <v>30</v>
      </c>
      <c r="AK107" s="118">
        <f>SUM(AJ106:AJ107)</f>
        <v>61</v>
      </c>
    </row>
    <row r="108" ht="19.5" customHeight="1">
      <c r="A108" s="106" t="s">
        <v>104</v>
      </c>
      <c r="B108" s="105">
        <f>5-1-1+1-1-1-1+1+1-1+1-1+1+1-1-1-1+1-1-1+1+1+2-2+2-1+1-1-2+1+2</f>
        <v>4</v>
      </c>
      <c r="C108" s="105">
        <f>9-1+1-1-1-1+1+1+1-1-1-1+1-2+1+1-1-1+2+1-1+1-1+1+1+1-1-1-1-1+1+1-2+1-2-1+2+2+1-1+1-2-1+1+2-2+2-1-1+1-4+4-2+2-1+1-1+1</f>
        <v>8</v>
      </c>
      <c r="D108" s="105">
        <f>0+1+5-1-1+1-2+1-1-1-1+3+1-1+1-4+1+4+1-1-1+1+1-2-1-1-3+1-1+1+2-1+3+1-1+1-1+1-1-1+1+1+1-1+1+1+10-1+1-2-2-2+2+1+1+2+1-8-1+1-1-1-1+1+1-3-3-1+3+3-1+1+1-1+1-1+1-1</f>
        <v>9</v>
      </c>
      <c r="E108" s="105">
        <f>7-1+1-1-1+1-1-1-1+1-1+1-1+1+1+10+1-1+1-2+1+2-1-1-1-1-1+1+1+1+1+1+2-1-2-1-1-1-1+1+2+1+1+1+1-1+1-1-2-1+1+1+2+1+1-4+1+4+1-4+2-2-1+1+1+1-2+2-2-1+2+1-1+1-1-4+1+4</f>
        <v>21</v>
      </c>
      <c r="F108" s="105">
        <f>10-2+1-1+1+1-1+1-1+2-1-1-1+1-1+1+1-1+1+1+1-1-1+1-1+1-1+1+1-1-1-1+1-1+1+1-1-1+1-1+1+1+1-1+1-1-3+3+1-1+1+1-1-1+1-1+1</f>
        <v>12</v>
      </c>
      <c r="G108" s="105">
        <f>0+5-1-1+1+1-1+1-1+1-1-1+1-1+1+1-1+1-1+1-1+1</f>
        <v>5</v>
      </c>
      <c r="H108" s="105">
        <f>5-1+1-1+1+1-1+1+1-1+1+1+1-1-1+1+1-1+1</f>
        <v>9</v>
      </c>
      <c r="I108" s="105">
        <f>4+1-1+1-1+1-1+1+1-1+1+1-1+1-1+1-1+1+1</f>
        <v>8</v>
      </c>
      <c r="J108" s="105">
        <f>7-1+1-1+1+1</f>
        <v>8</v>
      </c>
      <c r="K108" s="140">
        <f t="shared" si="129"/>
        <v>84</v>
      </c>
      <c r="M108" s="120" t="s">
        <v>73</v>
      </c>
    </row>
    <row r="109" ht="19.5" customHeight="1">
      <c r="A109" s="106" t="s">
        <v>105</v>
      </c>
      <c r="B109" s="105">
        <f>2+1-2+2-1+1-1+1-1-1+1+1</f>
        <v>3</v>
      </c>
      <c r="C109" s="105">
        <f>3-2+2-1-2+1+2-2-1+1+2-3+3+1-1-1+1+1+1-1+1-3+3-1+1-1</f>
        <v>4</v>
      </c>
      <c r="D109" s="105">
        <f>0+1+2-2+2-1+2+1-3+3-1+1-1+1+1+1-1+1-7+6-1-5+1+6+10-1+1-1+1-1+1-6-1+6-3+1-1</f>
        <v>13</v>
      </c>
      <c r="E109" s="105">
        <f>7-1+1-2-1+1+2-1+1+1-1-1+1+1+1-1+1-7-1+1+7-1+1-4+1+4+7+1-1-1+1-1+1+1-1-1+1+1-6+6-1</f>
        <v>17</v>
      </c>
      <c r="F109" s="105">
        <f>2-1+1-1+1-1+1-1-1+1+1-2+2+1-1-1+1+1+1-1+1-1+1-1</f>
        <v>3</v>
      </c>
      <c r="G109" s="140">
        <f>0</f>
        <v>0</v>
      </c>
      <c r="H109" s="140">
        <f>0+1</f>
        <v>1</v>
      </c>
      <c r="I109" s="140">
        <f>0</f>
        <v>0</v>
      </c>
      <c r="J109" s="140">
        <f>1-1+1+1-2+2</f>
        <v>2</v>
      </c>
      <c r="K109" s="140">
        <f t="shared" si="129"/>
        <v>43</v>
      </c>
      <c r="Z109" s="76" t="s">
        <v>101</v>
      </c>
      <c r="AA109" s="50"/>
      <c r="AB109" s="50"/>
      <c r="AC109" s="50"/>
      <c r="AD109" s="50"/>
      <c r="AE109" s="50"/>
      <c r="AF109" s="50"/>
      <c r="AG109" s="50"/>
      <c r="AH109" s="50"/>
      <c r="AI109" s="50"/>
      <c r="AJ109" s="51"/>
      <c r="AK109" s="133" t="s">
        <v>49</v>
      </c>
    </row>
    <row r="110" ht="19.5" customHeight="1">
      <c r="A110" s="144" t="s">
        <v>26</v>
      </c>
      <c r="B110" s="140">
        <f t="shared" ref="B110:B111" si="135">0+2-1+1-1+1</f>
        <v>2</v>
      </c>
      <c r="C110" s="140">
        <f>0+3-1-1-1+1+1-2+2-1</f>
        <v>1</v>
      </c>
      <c r="D110" s="105">
        <f>0+1-1+1-1+3+1-1-1-1+1+1+1+1-1-1+3+1-1+1</f>
        <v>7</v>
      </c>
      <c r="E110" s="140">
        <f>0+3-1-1+1+1-1+1-1+1+1</f>
        <v>4</v>
      </c>
      <c r="F110" s="140">
        <f>0+2-1-1+1+1-1-1+1-1+1+1</f>
        <v>2</v>
      </c>
      <c r="G110" s="140">
        <f t="shared" ref="G110:H110" si="133">0+2</f>
        <v>2</v>
      </c>
      <c r="H110" s="140">
        <f t="shared" si="133"/>
        <v>2</v>
      </c>
      <c r="I110" s="140">
        <f t="shared" ref="I110:J110" si="134">0+1-1+1</f>
        <v>1</v>
      </c>
      <c r="J110" s="140">
        <f t="shared" si="134"/>
        <v>1</v>
      </c>
      <c r="K110" s="140">
        <f t="shared" si="129"/>
        <v>22</v>
      </c>
      <c r="Z110" s="107"/>
      <c r="AA110" s="82" t="s">
        <v>2</v>
      </c>
      <c r="AB110" s="50"/>
      <c r="AC110" s="50"/>
      <c r="AD110" s="50"/>
      <c r="AE110" s="50"/>
      <c r="AF110" s="50"/>
      <c r="AG110" s="50"/>
      <c r="AH110" s="50"/>
      <c r="AI110" s="51"/>
      <c r="AJ110" s="107"/>
      <c r="AK110" s="86"/>
    </row>
    <row r="111" ht="19.5" customHeight="1">
      <c r="A111" s="144" t="s">
        <v>106</v>
      </c>
      <c r="B111" s="140">
        <f t="shared" si="135"/>
        <v>2</v>
      </c>
      <c r="C111" s="140">
        <f>0+3-1</f>
        <v>2</v>
      </c>
      <c r="D111" s="140">
        <f>0+1-1+1-1+3-1+1-1+1-1</f>
        <v>2</v>
      </c>
      <c r="E111" s="140">
        <f>0+3-1+1-1</f>
        <v>2</v>
      </c>
      <c r="F111" s="140">
        <f>0+2+1-1+1</f>
        <v>3</v>
      </c>
      <c r="G111" s="140">
        <f>0+2+1</f>
        <v>3</v>
      </c>
      <c r="H111" s="140">
        <f>0+2-1+1</f>
        <v>2</v>
      </c>
      <c r="I111" s="140">
        <f t="shared" ref="I111:J111" si="136">0+1</f>
        <v>1</v>
      </c>
      <c r="J111" s="140">
        <f t="shared" si="136"/>
        <v>1</v>
      </c>
      <c r="K111" s="140">
        <f t="shared" si="129"/>
        <v>18</v>
      </c>
      <c r="Z111" s="84" t="s">
        <v>52</v>
      </c>
      <c r="AA111" s="89">
        <v>28.0</v>
      </c>
      <c r="AB111" s="89">
        <v>30.0</v>
      </c>
      <c r="AC111" s="89">
        <v>32.0</v>
      </c>
      <c r="AD111" s="89">
        <v>34.0</v>
      </c>
      <c r="AE111" s="89">
        <v>36.0</v>
      </c>
      <c r="AF111" s="89">
        <v>38.0</v>
      </c>
      <c r="AG111" s="89">
        <v>40.0</v>
      </c>
      <c r="AH111" s="89"/>
      <c r="AI111" s="89"/>
      <c r="AJ111" s="107"/>
      <c r="AK111" s="86"/>
    </row>
    <row r="112" ht="19.5" customHeight="1">
      <c r="A112" s="145" t="s">
        <v>107</v>
      </c>
      <c r="B112" s="140">
        <f>0+2</f>
        <v>2</v>
      </c>
      <c r="C112" s="140">
        <f>0+3</f>
        <v>3</v>
      </c>
      <c r="D112" s="140">
        <f>0+1-1+1-1+3-1+1</f>
        <v>3</v>
      </c>
      <c r="E112" s="140">
        <f>0+3-1+1</f>
        <v>3</v>
      </c>
      <c r="F112" s="140">
        <f t="shared" ref="F112:H112" si="137">0+2</f>
        <v>2</v>
      </c>
      <c r="G112" s="140">
        <f t="shared" si="137"/>
        <v>2</v>
      </c>
      <c r="H112" s="140">
        <f t="shared" si="137"/>
        <v>2</v>
      </c>
      <c r="I112" s="140">
        <f>0+1-1+1</f>
        <v>1</v>
      </c>
      <c r="J112" s="140">
        <f>0+1</f>
        <v>1</v>
      </c>
      <c r="K112" s="140">
        <f t="shared" si="129"/>
        <v>19</v>
      </c>
      <c r="Z112" s="84"/>
      <c r="AA112" s="112" t="s">
        <v>4</v>
      </c>
      <c r="AB112" s="112" t="s">
        <v>53</v>
      </c>
      <c r="AC112" s="112" t="s">
        <v>54</v>
      </c>
      <c r="AD112" s="112" t="s">
        <v>55</v>
      </c>
      <c r="AE112" s="112" t="s">
        <v>56</v>
      </c>
      <c r="AF112" s="112" t="s">
        <v>9</v>
      </c>
      <c r="AG112" s="112" t="s">
        <v>10</v>
      </c>
      <c r="AH112" s="112" t="s">
        <v>11</v>
      </c>
      <c r="AI112" s="112" t="s">
        <v>12</v>
      </c>
      <c r="AJ112" s="134" t="s">
        <v>49</v>
      </c>
      <c r="AK112" s="86"/>
    </row>
    <row r="113" ht="19.5" customHeight="1">
      <c r="A113" s="146"/>
      <c r="B113" s="147"/>
      <c r="C113" s="147"/>
      <c r="D113" s="147"/>
      <c r="E113" s="147"/>
      <c r="F113" s="147"/>
      <c r="G113" s="147"/>
      <c r="H113" s="147"/>
      <c r="I113" s="147"/>
      <c r="J113" s="147"/>
      <c r="K113" s="148">
        <f>SUM(K100:K112)</f>
        <v>972</v>
      </c>
      <c r="Z113" s="84" t="s">
        <v>59</v>
      </c>
      <c r="AA113" s="105">
        <f>0+3+2</f>
        <v>5</v>
      </c>
      <c r="AB113" s="105">
        <f>0+2-1+1+1+3+1-1+1+1-1+1-1</f>
        <v>7</v>
      </c>
      <c r="AC113" s="105">
        <f>0+2-1+1+1+3-1+1-1+1+1+1+1+1+1-1+1-4</f>
        <v>7</v>
      </c>
      <c r="AD113" s="105">
        <f>0+1+3-1+1+1+1-1+1+1-1</f>
        <v>6</v>
      </c>
      <c r="AE113" s="105">
        <f>0+1-1+2+1+1-1+1-1+1+1</f>
        <v>5</v>
      </c>
      <c r="AF113" s="89">
        <f>0+1-1+1+2+1-1+1-1-1-1</f>
        <v>1</v>
      </c>
      <c r="AG113" s="105">
        <f>0+1+2-1+1</f>
        <v>3</v>
      </c>
      <c r="AH113" s="89">
        <f>0+1+1-1+1</f>
        <v>2</v>
      </c>
      <c r="AI113" s="89">
        <f>0+1+1</f>
        <v>2</v>
      </c>
      <c r="AJ113" s="89">
        <f t="shared" ref="AJ113:AJ114" si="140">SUM(AA113:AI113)</f>
        <v>38</v>
      </c>
      <c r="AK113" s="86"/>
    </row>
    <row r="114" ht="19.5" customHeight="1">
      <c r="A114" s="138" t="s">
        <v>108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1"/>
      <c r="Z114" s="84" t="s">
        <v>60</v>
      </c>
      <c r="AA114" s="105">
        <f>0+1-1+2+1+1-1</f>
        <v>3</v>
      </c>
      <c r="AB114" s="105">
        <f>0+2-1+3-1+1-1+2</f>
        <v>5</v>
      </c>
      <c r="AC114" s="105">
        <f>6</f>
        <v>6</v>
      </c>
      <c r="AD114" s="105">
        <f t="shared" ref="AD114:AF114" si="138">5</f>
        <v>5</v>
      </c>
      <c r="AE114" s="105">
        <f t="shared" si="138"/>
        <v>5</v>
      </c>
      <c r="AF114" s="105">
        <f t="shared" si="138"/>
        <v>5</v>
      </c>
      <c r="AG114" s="105">
        <f>0+2+2</f>
        <v>4</v>
      </c>
      <c r="AH114" s="89">
        <f t="shared" ref="AH114:AI114" si="139">0+1+1</f>
        <v>2</v>
      </c>
      <c r="AI114" s="89">
        <f t="shared" si="139"/>
        <v>2</v>
      </c>
      <c r="AJ114" s="89">
        <f t="shared" si="140"/>
        <v>37</v>
      </c>
      <c r="AK114" s="86"/>
    </row>
    <row r="115" ht="19.5" customHeight="1">
      <c r="A115" s="149"/>
      <c r="B115" s="82" t="s">
        <v>2</v>
      </c>
      <c r="C115" s="50"/>
      <c r="D115" s="50"/>
      <c r="E115" s="50"/>
      <c r="F115" s="50"/>
      <c r="G115" s="50"/>
      <c r="H115" s="50"/>
      <c r="I115" s="50"/>
      <c r="J115" s="77"/>
      <c r="K115" s="114"/>
      <c r="Z115" s="125"/>
      <c r="AA115" s="125"/>
      <c r="AB115" s="109"/>
      <c r="AC115" s="125"/>
      <c r="AD115" s="125"/>
      <c r="AE115" s="125"/>
      <c r="AF115" s="125"/>
      <c r="AG115" s="125"/>
      <c r="AH115" s="125"/>
      <c r="AI115" s="125"/>
      <c r="AJ115" s="125"/>
      <c r="AK115" s="86"/>
    </row>
    <row r="116" ht="19.5" customHeight="1">
      <c r="A116" s="81" t="s">
        <v>52</v>
      </c>
      <c r="B116" s="89">
        <v>28.0</v>
      </c>
      <c r="C116" s="89">
        <v>30.0</v>
      </c>
      <c r="D116" s="89">
        <v>32.0</v>
      </c>
      <c r="E116" s="89">
        <v>34.0</v>
      </c>
      <c r="F116" s="89">
        <v>36.0</v>
      </c>
      <c r="G116" s="89">
        <v>38.0</v>
      </c>
      <c r="H116" s="89">
        <v>40.0</v>
      </c>
      <c r="I116" s="89"/>
      <c r="J116" s="90"/>
      <c r="K116" s="114"/>
      <c r="Y116" s="102" t="s">
        <v>58</v>
      </c>
      <c r="AK116" s="115"/>
    </row>
    <row r="117" ht="24.0" customHeight="1">
      <c r="A117" s="143" t="s">
        <v>99</v>
      </c>
      <c r="B117" s="112" t="s">
        <v>4</v>
      </c>
      <c r="C117" s="126" t="s">
        <v>53</v>
      </c>
      <c r="D117" s="112" t="s">
        <v>54</v>
      </c>
      <c r="E117" s="112" t="s">
        <v>55</v>
      </c>
      <c r="F117" s="112" t="s">
        <v>56</v>
      </c>
      <c r="G117" s="112" t="s">
        <v>9</v>
      </c>
      <c r="H117" s="112" t="s">
        <v>10</v>
      </c>
      <c r="I117" s="112" t="s">
        <v>11</v>
      </c>
      <c r="J117" s="85" t="s">
        <v>12</v>
      </c>
      <c r="K117" s="119" t="s">
        <v>49</v>
      </c>
      <c r="Y117" s="102" t="s">
        <v>58</v>
      </c>
      <c r="Z117" s="76" t="s">
        <v>109</v>
      </c>
      <c r="AA117" s="50"/>
      <c r="AB117" s="50"/>
      <c r="AC117" s="50"/>
      <c r="AD117" s="50"/>
      <c r="AE117" s="50"/>
      <c r="AF117" s="50"/>
      <c r="AG117" s="50"/>
      <c r="AH117" s="50"/>
      <c r="AI117" s="50"/>
      <c r="AJ117" s="77"/>
      <c r="AK117" s="118">
        <f>SUM(AJ113:AJ114)</f>
        <v>75</v>
      </c>
    </row>
    <row r="118" ht="19.5" customHeight="1">
      <c r="A118" s="84" t="s">
        <v>57</v>
      </c>
      <c r="B118" s="128">
        <f>16+10-1-1+1-1+1-1+1-8-1+8+1</f>
        <v>25</v>
      </c>
      <c r="C118" s="128">
        <f>6+1+1</f>
        <v>8</v>
      </c>
      <c r="D118" s="128">
        <f>45-2+1-1-2-1+2-3-1-4+4-2+3+1+2+1-1-1-4+2+2-1-1-1+1+4+1-1-1+1-3+3+1+1+1-1-1-1-1-1+1-40+1+1+1-1+40-1-1-1+1+1</f>
        <v>43</v>
      </c>
      <c r="E118" s="128">
        <f>35-1-1+1+1-1-1-4-1-1-3-1+3+1+4+1+1+1-1-1-3+1-1-1-2+1+1-4-1+1+3-1+1+2+4-1+1+1+1-2-1-1-4-1-20+1+1+4-1+1+20-1-3+1+2</f>
        <v>31</v>
      </c>
      <c r="F118" s="128">
        <f>30-1+1-3-1-1+3+1-1-1+1+1+1-1+1-2-18-1+2-1+18+1+1+1</f>
        <v>31</v>
      </c>
      <c r="G118" s="150">
        <f>16-2+2-3-1+1+3-2-1-1+2+1+1-9-1+9-1+1</f>
        <v>15</v>
      </c>
      <c r="H118" s="128">
        <f>15+1-1+1-6-1-1+6+1+1</f>
        <v>16</v>
      </c>
      <c r="I118" s="128">
        <f>8-2+2</f>
        <v>8</v>
      </c>
      <c r="J118" s="130">
        <f>5-1+1</f>
        <v>5</v>
      </c>
      <c r="K118" s="114">
        <f t="shared" ref="K118:K130" si="141">SUM(B118:J118)</f>
        <v>182</v>
      </c>
      <c r="Z118" s="107"/>
      <c r="AA118" s="82" t="s">
        <v>2</v>
      </c>
      <c r="AB118" s="50"/>
      <c r="AC118" s="50"/>
      <c r="AD118" s="50"/>
      <c r="AE118" s="50"/>
      <c r="AF118" s="50"/>
      <c r="AG118" s="50"/>
      <c r="AH118" s="50"/>
      <c r="AI118" s="51"/>
      <c r="AJ118" s="87"/>
      <c r="AK118" s="151"/>
    </row>
    <row r="119" ht="21.0" customHeight="1">
      <c r="A119" s="106" t="s">
        <v>14</v>
      </c>
      <c r="B119" s="150">
        <f>13+1-1+1-12+12</f>
        <v>14</v>
      </c>
      <c r="C119" s="128">
        <f>20+5-1-1+1-1-1+1+1+1-3+3-2-6</f>
        <v>17</v>
      </c>
      <c r="D119" s="128">
        <f>35+7+2-1-1+1+1-2-1+1+2+1+1-1-1-2-1-1-4-1+4+1+1-1+1+1+2+1+1-1-9-1-1-12-1-2+2+1+12+1+1+9-1+1-1+1-1+1-1-1-1-3-1+1-6+1+1+1</f>
        <v>36</v>
      </c>
      <c r="E119" s="150">
        <f>40-1-1+1+4-1-1+1-1-2+1-1+2+1+1+1-3-1-1+3-2-1+1+2+1-10-1+1-3-24-1+1+1+24+10+3-1-1-1-3-1-3-1+1+1+1+1+2+3-1-1-1-2-1+1-3+1+1+2+1</f>
        <v>39</v>
      </c>
      <c r="F119" s="128">
        <f>11+3-1+1-4-1-2-2+1-1+1+2+1+4+2-2-1+2-1-1-2+1+1</f>
        <v>12</v>
      </c>
      <c r="G119" s="150">
        <f>21-1+1-2-2+1-1-1+1</f>
        <v>17</v>
      </c>
      <c r="H119" s="128">
        <f>2+1+2-1+1</f>
        <v>5</v>
      </c>
      <c r="I119" s="150">
        <f>8-1+1-1+1</f>
        <v>8</v>
      </c>
      <c r="J119" s="130">
        <f>3-1+1</f>
        <v>3</v>
      </c>
      <c r="K119" s="114">
        <f t="shared" si="141"/>
        <v>151</v>
      </c>
      <c r="Z119" s="84" t="s">
        <v>52</v>
      </c>
      <c r="AA119" s="89">
        <v>28.0</v>
      </c>
      <c r="AB119" s="89">
        <v>30.0</v>
      </c>
      <c r="AC119" s="89">
        <v>32.0</v>
      </c>
      <c r="AD119" s="89">
        <v>34.0</v>
      </c>
      <c r="AE119" s="89">
        <v>36.0</v>
      </c>
      <c r="AF119" s="89">
        <v>38.0</v>
      </c>
      <c r="AG119" s="89">
        <v>40.0</v>
      </c>
      <c r="AH119" s="89"/>
      <c r="AI119" s="89"/>
      <c r="AJ119" s="87"/>
      <c r="AK119" s="152" t="s">
        <v>49</v>
      </c>
      <c r="AL119" s="153"/>
      <c r="AM119" s="153"/>
    </row>
    <row r="120" ht="21.0" customHeight="1">
      <c r="A120" s="84" t="s">
        <v>100</v>
      </c>
      <c r="B120" s="128">
        <f>15-2+2</f>
        <v>15</v>
      </c>
      <c r="C120" s="128">
        <f>17-1-1+1-1+1+1-1+1-1+1</f>
        <v>17</v>
      </c>
      <c r="D120" s="128">
        <f>11+1-1+1-1+1</f>
        <v>12</v>
      </c>
      <c r="E120" s="128">
        <f>20-1+1-1+1-1+1-1-1+1</f>
        <v>19</v>
      </c>
      <c r="F120" s="128">
        <f>9-1+1-2+2-1+1+1</f>
        <v>10</v>
      </c>
      <c r="G120" s="128">
        <f>10+1-1-1+1+1</f>
        <v>11</v>
      </c>
      <c r="H120" s="128">
        <f>8</f>
        <v>8</v>
      </c>
      <c r="I120" s="128">
        <f>8-1+1</f>
        <v>8</v>
      </c>
      <c r="J120" s="130">
        <f>9</f>
        <v>9</v>
      </c>
      <c r="K120" s="114">
        <f t="shared" si="141"/>
        <v>109</v>
      </c>
      <c r="Z120" s="84"/>
      <c r="AA120" s="112" t="s">
        <v>4</v>
      </c>
      <c r="AB120" s="112" t="s">
        <v>53</v>
      </c>
      <c r="AC120" s="112" t="s">
        <v>54</v>
      </c>
      <c r="AD120" s="112" t="s">
        <v>55</v>
      </c>
      <c r="AE120" s="112" t="s">
        <v>56</v>
      </c>
      <c r="AF120" s="112" t="s">
        <v>9</v>
      </c>
      <c r="AG120" s="112" t="s">
        <v>10</v>
      </c>
      <c r="AH120" s="112" t="s">
        <v>11</v>
      </c>
      <c r="AI120" s="112" t="s">
        <v>12</v>
      </c>
      <c r="AJ120" s="113" t="s">
        <v>49</v>
      </c>
      <c r="AK120" s="86"/>
      <c r="AL120" s="153"/>
      <c r="AM120" s="153"/>
    </row>
    <row r="121" ht="26.25" customHeight="1">
      <c r="A121" s="106" t="s">
        <v>102</v>
      </c>
      <c r="B121" s="128">
        <f>8-2-1+2+1-1+1-1+1</f>
        <v>8</v>
      </c>
      <c r="C121" s="128">
        <f>20-1-+1+1-1+1+1+1-4-1-1+4-1+1+1</f>
        <v>20</v>
      </c>
      <c r="D121" s="128">
        <f>28-1-2-1+1+1+2-1-1-8+8+1+1-2-1+2-1+1-1+1-4-1-1+1-4+1+4+1+4</f>
        <v>28</v>
      </c>
      <c r="E121" s="128">
        <f>21-1-1+1-1-1-1+1+1-1-1-6+6+1+1+1-2-1-1+2+1-1-1+1+1+1-2-2-5+2+2+5-1</f>
        <v>19</v>
      </c>
      <c r="F121" s="128">
        <f>17-1-1+1+1+1-1+1-2-1-1-1+2+1-1+1+1-1-1-3+1+3</f>
        <v>16</v>
      </c>
      <c r="G121" s="128">
        <f>13-1+1-1+1-1+1+1-2-4-2+1+2+4+2</f>
        <v>15</v>
      </c>
      <c r="H121" s="128">
        <f>4-1</f>
        <v>3</v>
      </c>
      <c r="I121" s="128">
        <f>10</f>
        <v>10</v>
      </c>
      <c r="J121" s="130">
        <f>8-1+1</f>
        <v>8</v>
      </c>
      <c r="K121" s="114">
        <f t="shared" si="141"/>
        <v>127</v>
      </c>
      <c r="Z121" s="84" t="s">
        <v>59</v>
      </c>
      <c r="AA121" s="89">
        <f>0</f>
        <v>0</v>
      </c>
      <c r="AB121" s="89">
        <f>0+7+1</f>
        <v>8</v>
      </c>
      <c r="AC121" s="89">
        <f>0</f>
        <v>0</v>
      </c>
      <c r="AD121" s="89">
        <f>0+1</f>
        <v>1</v>
      </c>
      <c r="AE121" s="89">
        <f>0+1-1+1+1+1-2+2-1-1-1+1+1+1-1+1-2-1+2+2-1-1-1-1</f>
        <v>0</v>
      </c>
      <c r="AF121" s="89">
        <f>0+3+4+1</f>
        <v>8</v>
      </c>
      <c r="AG121" s="89">
        <f t="shared" ref="AG121:AI121" si="142">0</f>
        <v>0</v>
      </c>
      <c r="AH121" s="89">
        <f t="shared" si="142"/>
        <v>0</v>
      </c>
      <c r="AI121" s="89">
        <f t="shared" si="142"/>
        <v>0</v>
      </c>
      <c r="AJ121" s="89">
        <f>SUM(AA121:AI121)</f>
        <v>17</v>
      </c>
      <c r="AK121" s="86"/>
      <c r="AL121" s="153"/>
      <c r="AM121" s="153"/>
    </row>
    <row r="122" ht="19.5" customHeight="1">
      <c r="A122" s="106" t="s">
        <v>16</v>
      </c>
      <c r="B122" s="128">
        <f>13+2-1+1-2</f>
        <v>13</v>
      </c>
      <c r="C122" s="128">
        <f>21-1+1-4+4-3</f>
        <v>18</v>
      </c>
      <c r="D122" s="150">
        <f>21-3+3+2+1-4-1-1+4+1+1</f>
        <v>24</v>
      </c>
      <c r="E122" s="154">
        <f>12+3-3+3-2-1-5+5-1</f>
        <v>11</v>
      </c>
      <c r="F122" s="150">
        <f>15-2+2-1-1-4+4</f>
        <v>13</v>
      </c>
      <c r="G122" s="128">
        <f>17-1-4+4-1</f>
        <v>15</v>
      </c>
      <c r="H122" s="128">
        <f>8-1+1+1+1+1</f>
        <v>11</v>
      </c>
      <c r="I122" s="128">
        <f>8</f>
        <v>8</v>
      </c>
      <c r="J122" s="130">
        <f>6-1+1-2</f>
        <v>4</v>
      </c>
      <c r="K122" s="114">
        <f t="shared" si="141"/>
        <v>117</v>
      </c>
      <c r="AK122" s="86"/>
      <c r="AL122" s="153"/>
      <c r="AM122" s="153"/>
    </row>
    <row r="123" ht="22.5" customHeight="1">
      <c r="A123" s="106" t="s">
        <v>13</v>
      </c>
      <c r="B123" s="128">
        <f>8-1-2+1-4+2+4-1+1-1-1+1-1+1</f>
        <v>7</v>
      </c>
      <c r="C123" s="128">
        <f>19+1-1-1-1-1-2+1-1+1+1+1-6-2+2+1-1+6+1+2-1-1+1-1-1+1-1+1+1+1-5+1+1+5-1+1-1-1-4+1</f>
        <v>17</v>
      </c>
      <c r="D123" s="128">
        <f>37-1+1+1-1-1-1-1-1-1+2+1+1+1-6-1-1-2-1-1-3-1+1+7+1+1+1+1-1-1+1+1-13-1-5+1+3+1+1+2+1+1+1-3+13+1-1-4-1+4+3+1-1+1+5-1+1+1+1-1-1-1-1-2-1+1+1-1-4+1-1-1-2-1-1+2+1+2+1+1+4+1+1-1-9-4-1-1+1+1-1-1+9+1+1+4+1+1+1-1-1-2-1-4+1+1+1</f>
        <v>39</v>
      </c>
      <c r="E123" s="128">
        <f>17-6+1+1+1-3-1-1-6-1-2-1+6+3-1-1-2+1+1+2-1-1+1+1+1+6+1-2-1-1+2-3+3+1+1+2+1-1-2-1-1-2-1-1-2+2+1-1-1-2-1+1+2+1-1-1+1+1+2+1+2+1+1+1-1-13-1-2+1-1-1+1-1+13+1+1+1+2-1+1-2-1+1+1+1+1+2-1-1-1-1-2+1+1+1+1+1-1</f>
        <v>19</v>
      </c>
      <c r="F123" s="128">
        <f>11+2-2-1-1-1-1-1-1+2+2+4+1-2-1+1+1+1-13-1+1+1+2-1-2+7+1-1-1+2+1+1+1-1+1-1-1-1-1-1-1+1-2-2+1+1+1-1+1+1+1+2+2+1-3-1-1-1-1-2+1+3+1-1+1+1+1+2+1-1+1+1</f>
        <v>15</v>
      </c>
      <c r="G123" s="128">
        <f>5-1-1-1+1-3+1+1-2+3+2-1-2-1-1+1-1+1+2-1+1+1+1-1+1+1</f>
        <v>6</v>
      </c>
      <c r="H123" s="128">
        <f>25+1-4+4-1+1-1-1-1+1+1+1+1-1+1</f>
        <v>27</v>
      </c>
      <c r="I123" s="128">
        <f>2-1+1-1+1-1+1-1-1+1+1+1</f>
        <v>3</v>
      </c>
      <c r="J123" s="130">
        <f>13-4-1+4+1-1+1+1</f>
        <v>14</v>
      </c>
      <c r="K123" s="114">
        <f t="shared" si="141"/>
        <v>147</v>
      </c>
      <c r="AK123" s="115"/>
      <c r="AL123" s="153"/>
      <c r="AM123" s="153"/>
    </row>
    <row r="124" ht="19.5" customHeight="1">
      <c r="A124" s="106" t="s">
        <v>110</v>
      </c>
      <c r="B124" s="128">
        <f>5-1+1</f>
        <v>5</v>
      </c>
      <c r="C124" s="128">
        <f>14-1-3+1+1+2-1-1+1+1</f>
        <v>14</v>
      </c>
      <c r="D124" s="128">
        <f>26+1-2+2-1-4+4+1-3+3-1-1-9-1+1+1+1+9-1-1+1+1-1-1-1</f>
        <v>24</v>
      </c>
      <c r="E124" s="128">
        <f>22+1-1-6+6+1-1-2-1-10+1+2-1+1+10+1-1-1-+1-5-1+5+1+1-1+1</f>
        <v>21</v>
      </c>
      <c r="F124" s="150">
        <f>15-1+1-2-2+2+2-1-1-4+1+1+4-4+4</f>
        <v>15</v>
      </c>
      <c r="G124" s="128">
        <f>6-1+1-2-1+1+2-1+1</f>
        <v>6</v>
      </c>
      <c r="H124" s="140">
        <f>2-1-1+1+1</f>
        <v>2</v>
      </c>
      <c r="I124" s="128">
        <f>6</f>
        <v>6</v>
      </c>
      <c r="J124" s="129">
        <f>5-1+1</f>
        <v>5</v>
      </c>
      <c r="K124" s="114">
        <f t="shared" si="141"/>
        <v>98</v>
      </c>
      <c r="Y124" s="102" t="s">
        <v>58</v>
      </c>
      <c r="AK124" s="118">
        <f>SUM(AJ121)</f>
        <v>17</v>
      </c>
      <c r="AL124" s="153"/>
      <c r="AM124" s="153"/>
    </row>
    <row r="125" ht="19.5" customHeight="1">
      <c r="A125" s="106" t="s">
        <v>103</v>
      </c>
      <c r="B125" s="128">
        <f>12</f>
        <v>12</v>
      </c>
      <c r="C125" s="128">
        <f>15-1-2+1</f>
        <v>13</v>
      </c>
      <c r="D125" s="150">
        <f>18-1-1+1+1-5+5-1+1</f>
        <v>18</v>
      </c>
      <c r="E125" s="128">
        <f>17-1-6+1+6</f>
        <v>17</v>
      </c>
      <c r="F125" s="128">
        <f>16-2-1+2+1-1-1+1+1+1</f>
        <v>17</v>
      </c>
      <c r="G125" s="128">
        <f>13-1-3+1+3</f>
        <v>13</v>
      </c>
      <c r="H125" s="128">
        <f>8</f>
        <v>8</v>
      </c>
      <c r="I125" s="128">
        <f>5</f>
        <v>5</v>
      </c>
      <c r="J125" s="130">
        <f>5</f>
        <v>5</v>
      </c>
      <c r="K125" s="114">
        <f t="shared" si="141"/>
        <v>108</v>
      </c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L125" s="153"/>
      <c r="AM125" s="153"/>
    </row>
    <row r="126" ht="21.0" customHeight="1">
      <c r="A126" s="106" t="s">
        <v>104</v>
      </c>
      <c r="B126" s="128">
        <f>12+1-1-1+1+1+2+1</f>
        <v>16</v>
      </c>
      <c r="C126" s="128">
        <f>21-1+1-1+1+1-1+1-4-1+4+1</f>
        <v>22</v>
      </c>
      <c r="D126" s="128">
        <f>18+1-1-1+1+1-5-1+5+1+1-3-4-2+4+3-1-1-1+1+1+1+2-1+1+1+1+1-1+2+1-1-4-1-1+1-1+4-1+1+1+1</f>
        <v>24</v>
      </c>
      <c r="E126" s="128">
        <f>8+10-6-1+8+1+1+1-3-1+2-2-1-1-2-1-1+1+1-1-1-4+1-1+1-1+4-1+1+1</f>
        <v>13</v>
      </c>
      <c r="F126" s="128">
        <f>6-1+10-2-1-1-2+2-1-1-1-1-1-1-2+2+1-1+1-4+1-1+4+1</f>
        <v>7</v>
      </c>
      <c r="G126" s="128">
        <f>15+1+1-1-1-1+1+1-1+1-3+3</f>
        <v>16</v>
      </c>
      <c r="H126" s="128">
        <f>11-1+1-1+1+1+1+1-1+1+1</f>
        <v>15</v>
      </c>
      <c r="I126" s="128">
        <f>10+1</f>
        <v>11</v>
      </c>
      <c r="J126" s="130">
        <f>8-1+1</f>
        <v>8</v>
      </c>
      <c r="K126" s="114">
        <f t="shared" si="141"/>
        <v>132</v>
      </c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L126" s="153"/>
      <c r="AM126" s="153"/>
    </row>
    <row r="127" ht="19.5" customHeight="1">
      <c r="A127" s="106" t="s">
        <v>105</v>
      </c>
      <c r="B127" s="128">
        <f>9</f>
        <v>9</v>
      </c>
      <c r="C127" s="128">
        <f>14-1+1-1-3+1+3-1-2+1+1</f>
        <v>13</v>
      </c>
      <c r="D127" s="150">
        <f>26-1-1-1+1-1+1+1+1-2-1+1+1+1-6-2+6-2+2</f>
        <v>24</v>
      </c>
      <c r="E127" s="128">
        <f>18-1+1-2+2-1-5-1+1+5-1-1+1+1+1-1-6+6+1</f>
        <v>18</v>
      </c>
      <c r="F127" s="128">
        <f>13-1-1+1+1-3+3</f>
        <v>13</v>
      </c>
      <c r="G127" s="128">
        <f>4-2+2-1-1+1+1-1</f>
        <v>3</v>
      </c>
      <c r="H127" s="128">
        <f>3-1+1</f>
        <v>3</v>
      </c>
      <c r="I127" s="128">
        <f>5</f>
        <v>5</v>
      </c>
      <c r="J127" s="155">
        <f t="shared" ref="J127:J128" si="143">1</f>
        <v>1</v>
      </c>
      <c r="K127" s="114">
        <f t="shared" si="141"/>
        <v>89</v>
      </c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L127" s="153"/>
      <c r="AM127" s="153"/>
    </row>
    <row r="128" ht="19.5" customHeight="1">
      <c r="A128" s="156" t="s">
        <v>26</v>
      </c>
      <c r="B128" s="128">
        <f>3</f>
        <v>3</v>
      </c>
      <c r="C128" s="128">
        <f>5+1-1+1</f>
        <v>6</v>
      </c>
      <c r="D128" s="128">
        <f>10-1+1</f>
        <v>10</v>
      </c>
      <c r="E128" s="130">
        <f>0+10+1-1+1</f>
        <v>11</v>
      </c>
      <c r="F128" s="128">
        <f>8-1+1</f>
        <v>8</v>
      </c>
      <c r="G128" s="128">
        <f>6</f>
        <v>6</v>
      </c>
      <c r="H128" s="140">
        <f>3-1</f>
        <v>2</v>
      </c>
      <c r="I128" s="140">
        <f>1-1+1+1</f>
        <v>2</v>
      </c>
      <c r="J128" s="140">
        <f t="shared" si="143"/>
        <v>1</v>
      </c>
      <c r="K128" s="114">
        <f t="shared" si="141"/>
        <v>49</v>
      </c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</row>
    <row r="129" ht="19.5" customHeight="1">
      <c r="A129" s="156" t="s">
        <v>106</v>
      </c>
      <c r="B129" s="128">
        <f>3-1</f>
        <v>2</v>
      </c>
      <c r="C129" s="130">
        <f>1+5-1+1-1+1-1</f>
        <v>5</v>
      </c>
      <c r="D129" s="128">
        <f>10-1-1-1+1-1+1-3+3+1-1-1</f>
        <v>7</v>
      </c>
      <c r="E129" s="128">
        <f>10-1-1+1+1-1-2</f>
        <v>7</v>
      </c>
      <c r="F129" s="128">
        <f>8-1+1+1-1-1</f>
        <v>7</v>
      </c>
      <c r="G129" s="128">
        <f>6-1-1</f>
        <v>4</v>
      </c>
      <c r="H129" s="128">
        <f t="shared" ref="H129:H130" si="144">3</f>
        <v>3</v>
      </c>
      <c r="I129" s="140">
        <f>1-1+1+1+1</f>
        <v>3</v>
      </c>
      <c r="J129" s="140">
        <f>1-1</f>
        <v>0</v>
      </c>
      <c r="K129" s="114">
        <f t="shared" si="141"/>
        <v>38</v>
      </c>
      <c r="AK129" s="153"/>
      <c r="AL129" s="153"/>
      <c r="AM129" s="153"/>
    </row>
    <row r="130" ht="19.5" customHeight="1">
      <c r="A130" s="157" t="s">
        <v>107</v>
      </c>
      <c r="B130" s="128">
        <f>3</f>
        <v>3</v>
      </c>
      <c r="C130" s="128">
        <f>5-1+1</f>
        <v>5</v>
      </c>
      <c r="D130" s="128">
        <f>10+1-1-1+1+1</f>
        <v>11</v>
      </c>
      <c r="E130" s="130">
        <f>10-1+1</f>
        <v>10</v>
      </c>
      <c r="F130" s="128">
        <f>8-1+1</f>
        <v>8</v>
      </c>
      <c r="G130" s="128">
        <f>6</f>
        <v>6</v>
      </c>
      <c r="H130" s="128">
        <f t="shared" si="144"/>
        <v>3</v>
      </c>
      <c r="I130" s="140">
        <f>1</f>
        <v>1</v>
      </c>
      <c r="J130" s="140">
        <f>1-1+1-1+1+1</f>
        <v>2</v>
      </c>
      <c r="K130" s="114">
        <f t="shared" si="141"/>
        <v>49</v>
      </c>
      <c r="AK130" s="153"/>
      <c r="AL130" s="153"/>
      <c r="AM130" s="153"/>
    </row>
    <row r="131" ht="19.5" customHeight="1">
      <c r="A131" s="158"/>
      <c r="B131" s="147"/>
      <c r="C131" s="147"/>
      <c r="D131" s="147"/>
      <c r="E131" s="147"/>
      <c r="F131" s="147"/>
      <c r="G131" s="147"/>
      <c r="H131" s="147"/>
      <c r="I131" s="147"/>
      <c r="J131" s="147" t="s">
        <v>38</v>
      </c>
      <c r="K131" s="105">
        <f>SUM(K118:K130)</f>
        <v>1396</v>
      </c>
      <c r="Z131" s="159" t="s">
        <v>111</v>
      </c>
      <c r="AA131" s="50"/>
      <c r="AB131" s="50"/>
      <c r="AC131" s="50"/>
      <c r="AD131" s="50"/>
      <c r="AE131" s="50"/>
      <c r="AF131" s="50"/>
      <c r="AG131" s="50"/>
      <c r="AH131" s="50"/>
      <c r="AI131" s="50"/>
      <c r="AJ131" s="51"/>
      <c r="AK131" s="153"/>
      <c r="AL131" s="153"/>
      <c r="AM131" s="153"/>
    </row>
    <row r="132" ht="19.5" customHeight="1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  <c r="K132" s="79"/>
      <c r="Z132" s="81"/>
      <c r="AA132" s="82" t="s">
        <v>112</v>
      </c>
      <c r="AB132" s="50"/>
      <c r="AC132" s="50"/>
      <c r="AD132" s="50"/>
      <c r="AE132" s="50"/>
      <c r="AF132" s="50"/>
      <c r="AG132" s="50"/>
      <c r="AH132" s="50"/>
      <c r="AI132" s="51"/>
      <c r="AJ132" s="83"/>
    </row>
    <row r="133" ht="19.5" customHeight="1">
      <c r="A133" s="111" t="s">
        <v>113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1"/>
      <c r="Z133" s="81" t="s">
        <v>52</v>
      </c>
      <c r="AA133" s="89">
        <v>28.0</v>
      </c>
      <c r="AB133" s="89">
        <v>30.0</v>
      </c>
      <c r="AC133" s="89">
        <v>32.0</v>
      </c>
      <c r="AD133" s="89">
        <v>34.0</v>
      </c>
      <c r="AE133" s="89">
        <v>36.0</v>
      </c>
      <c r="AF133" s="89">
        <v>38.0</v>
      </c>
      <c r="AG133" s="89">
        <v>40.0</v>
      </c>
      <c r="AH133" s="105" t="s">
        <v>114</v>
      </c>
      <c r="AI133" s="90"/>
      <c r="AJ133" s="83"/>
    </row>
    <row r="134" ht="19.5" customHeight="1">
      <c r="A134" s="81"/>
      <c r="B134" s="82" t="s">
        <v>1</v>
      </c>
      <c r="C134" s="50"/>
      <c r="D134" s="50"/>
      <c r="E134" s="50"/>
      <c r="F134" s="50"/>
      <c r="G134" s="50"/>
      <c r="H134" s="50"/>
      <c r="I134" s="50"/>
      <c r="J134" s="51"/>
      <c r="K134" s="114"/>
      <c r="Z134" s="81"/>
      <c r="AA134" s="112" t="s">
        <v>4</v>
      </c>
      <c r="AB134" s="112" t="s">
        <v>53</v>
      </c>
      <c r="AC134" s="112" t="s">
        <v>54</v>
      </c>
      <c r="AD134" s="112" t="s">
        <v>55</v>
      </c>
      <c r="AE134" s="112" t="s">
        <v>56</v>
      </c>
      <c r="AF134" s="112" t="s">
        <v>9</v>
      </c>
      <c r="AG134" s="112" t="s">
        <v>10</v>
      </c>
      <c r="AH134" s="112" t="s">
        <v>11</v>
      </c>
      <c r="AI134" s="85" t="s">
        <v>12</v>
      </c>
      <c r="AJ134" s="134" t="s">
        <v>49</v>
      </c>
    </row>
    <row r="135" ht="19.5" customHeight="1">
      <c r="A135" s="81" t="s">
        <v>52</v>
      </c>
      <c r="B135" s="89">
        <v>28.0</v>
      </c>
      <c r="C135" s="89">
        <v>30.0</v>
      </c>
      <c r="D135" s="89">
        <v>32.0</v>
      </c>
      <c r="E135" s="89">
        <v>34.0</v>
      </c>
      <c r="F135" s="89">
        <v>36.0</v>
      </c>
      <c r="G135" s="89">
        <v>38.0</v>
      </c>
      <c r="H135" s="89">
        <v>40.0</v>
      </c>
      <c r="I135" s="89"/>
      <c r="J135" s="89"/>
      <c r="K135" s="114"/>
      <c r="Z135" s="81" t="s">
        <v>27</v>
      </c>
      <c r="AA135" s="89"/>
      <c r="AB135" s="89"/>
      <c r="AC135" s="89"/>
      <c r="AD135" s="89"/>
      <c r="AE135" s="89"/>
      <c r="AF135" s="89"/>
      <c r="AG135" s="89"/>
      <c r="AH135" s="160">
        <f>0+2-1+1-2+2</f>
        <v>2</v>
      </c>
      <c r="AI135" s="90"/>
      <c r="AJ135" s="161">
        <f t="shared" ref="AJ135:AJ140" si="145">SUM(AA135:AI135)</f>
        <v>2</v>
      </c>
    </row>
    <row r="136" ht="19.5" customHeight="1">
      <c r="A136" s="81"/>
      <c r="B136" s="112" t="s">
        <v>4</v>
      </c>
      <c r="C136" s="112" t="s">
        <v>53</v>
      </c>
      <c r="D136" s="112" t="s">
        <v>54</v>
      </c>
      <c r="E136" s="112" t="s">
        <v>55</v>
      </c>
      <c r="F136" s="112" t="s">
        <v>56</v>
      </c>
      <c r="G136" s="112" t="s">
        <v>9</v>
      </c>
      <c r="H136" s="112" t="s">
        <v>10</v>
      </c>
      <c r="I136" s="112" t="s">
        <v>11</v>
      </c>
      <c r="J136" s="112" t="s">
        <v>12</v>
      </c>
      <c r="K136" s="119" t="s">
        <v>49</v>
      </c>
      <c r="Z136" s="81" t="s">
        <v>22</v>
      </c>
      <c r="AA136" s="89"/>
      <c r="AB136" s="89"/>
      <c r="AC136" s="89"/>
      <c r="AD136" s="89"/>
      <c r="AE136" s="89"/>
      <c r="AF136" s="89"/>
      <c r="AG136" s="89"/>
      <c r="AH136" s="160">
        <f>0+1+3-4+3-1+1-1-1+1-2+2-1</f>
        <v>1</v>
      </c>
      <c r="AI136" s="90"/>
      <c r="AJ136" s="161">
        <f t="shared" si="145"/>
        <v>1</v>
      </c>
    </row>
    <row r="137" ht="19.5" customHeight="1">
      <c r="A137" s="84" t="s">
        <v>115</v>
      </c>
      <c r="B137" s="89">
        <f>0+1</f>
        <v>1</v>
      </c>
      <c r="C137" s="89">
        <f t="shared" ref="C137:D137" si="146">0</f>
        <v>0</v>
      </c>
      <c r="D137" s="89">
        <f t="shared" si="146"/>
        <v>0</v>
      </c>
      <c r="E137" s="89">
        <f>1-1</f>
        <v>0</v>
      </c>
      <c r="F137" s="89">
        <f>1</f>
        <v>1</v>
      </c>
      <c r="G137" s="89">
        <f>0</f>
        <v>0</v>
      </c>
      <c r="H137" s="89">
        <f>1</f>
        <v>1</v>
      </c>
      <c r="I137" s="89">
        <f t="shared" ref="I137:J137" si="147">0</f>
        <v>0</v>
      </c>
      <c r="J137" s="89">
        <f t="shared" si="147"/>
        <v>0</v>
      </c>
      <c r="K137" s="114">
        <f>SUM(B137:J137)</f>
        <v>3</v>
      </c>
      <c r="Z137" s="81" t="s">
        <v>116</v>
      </c>
      <c r="AA137" s="89"/>
      <c r="AB137" s="89"/>
      <c r="AC137" s="89"/>
      <c r="AD137" s="89"/>
      <c r="AE137" s="89"/>
      <c r="AF137" s="89"/>
      <c r="AG137" s="89"/>
      <c r="AH137" s="160">
        <f>0+3-1+1</f>
        <v>3</v>
      </c>
      <c r="AI137" s="90"/>
      <c r="AJ137" s="161">
        <f t="shared" si="145"/>
        <v>3</v>
      </c>
    </row>
    <row r="138" ht="19.5" customHeight="1">
      <c r="A138" s="108"/>
      <c r="B138" s="109"/>
      <c r="C138" s="109"/>
      <c r="D138" s="109"/>
      <c r="E138" s="109"/>
      <c r="F138" s="109"/>
      <c r="G138" s="109"/>
      <c r="H138" s="109"/>
      <c r="I138" s="109"/>
      <c r="J138" s="109"/>
      <c r="K138" s="79"/>
      <c r="Z138" s="81" t="s">
        <v>14</v>
      </c>
      <c r="AA138" s="89"/>
      <c r="AB138" s="89"/>
      <c r="AC138" s="89"/>
      <c r="AD138" s="89"/>
      <c r="AE138" s="89"/>
      <c r="AF138" s="89"/>
      <c r="AG138" s="89"/>
      <c r="AH138" s="160">
        <f>0+3-1+1+1-2-2+2</f>
        <v>2</v>
      </c>
      <c r="AI138" s="90"/>
      <c r="AJ138" s="161">
        <f t="shared" si="145"/>
        <v>2</v>
      </c>
    </row>
    <row r="139" ht="19.5" customHeight="1">
      <c r="A139" s="111" t="s">
        <v>117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1"/>
      <c r="N139" s="124" t="s">
        <v>118</v>
      </c>
      <c r="Z139" s="106" t="s">
        <v>119</v>
      </c>
      <c r="AA139" s="89"/>
      <c r="AB139" s="89"/>
      <c r="AC139" s="89"/>
      <c r="AD139" s="89"/>
      <c r="AE139" s="89"/>
      <c r="AF139" s="89"/>
      <c r="AG139" s="89"/>
      <c r="AH139" s="160">
        <f>0+2-1+1-2+2</f>
        <v>2</v>
      </c>
      <c r="AI139" s="90"/>
      <c r="AJ139" s="161">
        <f t="shared" si="145"/>
        <v>2</v>
      </c>
    </row>
    <row r="140" ht="19.5" customHeight="1">
      <c r="A140" s="81"/>
      <c r="B140" s="82" t="s">
        <v>2</v>
      </c>
      <c r="C140" s="50"/>
      <c r="D140" s="50"/>
      <c r="E140" s="50"/>
      <c r="F140" s="50"/>
      <c r="G140" s="50"/>
      <c r="H140" s="50"/>
      <c r="I140" s="50"/>
      <c r="J140" s="77"/>
      <c r="K140" s="114"/>
      <c r="Z140" s="106" t="s">
        <v>16</v>
      </c>
      <c r="AA140" s="89"/>
      <c r="AB140" s="89"/>
      <c r="AC140" s="89"/>
      <c r="AD140" s="89"/>
      <c r="AE140" s="89"/>
      <c r="AF140" s="89"/>
      <c r="AG140" s="89"/>
      <c r="AH140" s="160">
        <f>0+2+1</f>
        <v>3</v>
      </c>
      <c r="AI140" s="90"/>
      <c r="AJ140" s="161">
        <f t="shared" si="145"/>
        <v>3</v>
      </c>
    </row>
    <row r="141" ht="19.5" customHeight="1">
      <c r="A141" s="81" t="s">
        <v>52</v>
      </c>
      <c r="B141" s="89">
        <v>28.0</v>
      </c>
      <c r="C141" s="89">
        <v>30.0</v>
      </c>
      <c r="D141" s="89">
        <v>32.0</v>
      </c>
      <c r="E141" s="89">
        <v>34.0</v>
      </c>
      <c r="F141" s="89">
        <v>36.0</v>
      </c>
      <c r="G141" s="89">
        <v>38.0</v>
      </c>
      <c r="H141" s="89">
        <v>40.0</v>
      </c>
      <c r="I141" s="89"/>
      <c r="J141" s="90"/>
      <c r="K141" s="114"/>
      <c r="Z141" s="106" t="s">
        <v>75</v>
      </c>
      <c r="AA141" s="89"/>
      <c r="AB141" s="89"/>
      <c r="AC141" s="89"/>
      <c r="AD141" s="89"/>
      <c r="AE141" s="89"/>
      <c r="AF141" s="89"/>
      <c r="AG141" s="89"/>
      <c r="AH141" s="160">
        <f>1</f>
        <v>1</v>
      </c>
      <c r="AI141" s="89"/>
      <c r="AJ141" s="161"/>
    </row>
    <row r="142" ht="19.5" customHeight="1">
      <c r="A142" s="81"/>
      <c r="B142" s="112" t="s">
        <v>4</v>
      </c>
      <c r="C142" s="112" t="s">
        <v>53</v>
      </c>
      <c r="D142" s="112" t="s">
        <v>54</v>
      </c>
      <c r="E142" s="112" t="s">
        <v>55</v>
      </c>
      <c r="F142" s="112" t="s">
        <v>56</v>
      </c>
      <c r="G142" s="112" t="s">
        <v>9</v>
      </c>
      <c r="H142" s="112" t="s">
        <v>10</v>
      </c>
      <c r="I142" s="112" t="s">
        <v>11</v>
      </c>
      <c r="J142" s="85" t="s">
        <v>12</v>
      </c>
      <c r="K142" s="119" t="s">
        <v>49</v>
      </c>
      <c r="Z142" s="106" t="s">
        <v>120</v>
      </c>
      <c r="AA142" s="89"/>
      <c r="AB142" s="89"/>
      <c r="AC142" s="89"/>
      <c r="AD142" s="89"/>
      <c r="AE142" s="89"/>
      <c r="AF142" s="89"/>
      <c r="AG142" s="89"/>
      <c r="AH142" s="160">
        <f t="shared" ref="AH142:AH143" si="148">0+2</f>
        <v>2</v>
      </c>
      <c r="AI142" s="90"/>
      <c r="AJ142" s="161">
        <f t="shared" ref="AJ142:AJ145" si="149">SUM(AA142:AI142)</f>
        <v>2</v>
      </c>
    </row>
    <row r="143" ht="19.5" customHeight="1">
      <c r="A143" s="84" t="s">
        <v>115</v>
      </c>
      <c r="B143" s="89">
        <f>0+1+1</f>
        <v>2</v>
      </c>
      <c r="C143" s="89">
        <f>0+1-1+3-1</f>
        <v>2</v>
      </c>
      <c r="D143" s="89">
        <f>0+1+2-2+2+2-1-1+1+1-1-1+1+1</f>
        <v>5</v>
      </c>
      <c r="E143" s="89">
        <f>0</f>
        <v>0</v>
      </c>
      <c r="F143" s="89">
        <f>0+1-1+1</f>
        <v>1</v>
      </c>
      <c r="G143" s="89">
        <f>0+2-1+1</f>
        <v>2</v>
      </c>
      <c r="H143" s="89">
        <f>0+1+1</f>
        <v>2</v>
      </c>
      <c r="I143" s="89">
        <f>0+1</f>
        <v>1</v>
      </c>
      <c r="J143" s="89">
        <f>0</f>
        <v>0</v>
      </c>
      <c r="K143" s="114">
        <f>SUM(B143:J143)</f>
        <v>15</v>
      </c>
      <c r="Z143" s="106" t="s">
        <v>121</v>
      </c>
      <c r="AA143" s="89"/>
      <c r="AB143" s="89"/>
      <c r="AC143" s="89"/>
      <c r="AD143" s="89"/>
      <c r="AE143" s="89"/>
      <c r="AF143" s="89"/>
      <c r="AG143" s="89"/>
      <c r="AH143" s="160">
        <f t="shared" si="148"/>
        <v>2</v>
      </c>
      <c r="AI143" s="90"/>
      <c r="AJ143" s="161">
        <f t="shared" si="149"/>
        <v>2</v>
      </c>
    </row>
    <row r="144" ht="19.5" customHeight="1">
      <c r="A144" s="108"/>
      <c r="B144" s="109"/>
      <c r="C144" s="109"/>
      <c r="D144" s="109"/>
      <c r="E144" s="109"/>
      <c r="F144" s="109"/>
      <c r="G144" s="109"/>
      <c r="H144" s="109"/>
      <c r="I144" s="109"/>
      <c r="J144" s="109"/>
      <c r="K144" s="114"/>
      <c r="Z144" s="106" t="s">
        <v>122</v>
      </c>
      <c r="AA144" s="89"/>
      <c r="AB144" s="89"/>
      <c r="AC144" s="89"/>
      <c r="AD144" s="89"/>
      <c r="AE144" s="89"/>
      <c r="AF144" s="89"/>
      <c r="AG144" s="89"/>
      <c r="AH144" s="160">
        <f>0+4</f>
        <v>4</v>
      </c>
      <c r="AI144" s="90"/>
      <c r="AJ144" s="161">
        <f t="shared" si="149"/>
        <v>4</v>
      </c>
    </row>
    <row r="145" ht="19.5" customHeight="1">
      <c r="A145" s="108"/>
      <c r="B145" s="109"/>
      <c r="C145" s="109"/>
      <c r="D145" s="109"/>
      <c r="E145" s="109"/>
      <c r="F145" s="109"/>
      <c r="G145" s="109"/>
      <c r="H145" s="109"/>
      <c r="I145" s="109"/>
      <c r="J145" s="109"/>
      <c r="K145" s="105">
        <f>SUM(K143)</f>
        <v>15</v>
      </c>
      <c r="Z145" s="84" t="s">
        <v>17</v>
      </c>
      <c r="AA145" s="89"/>
      <c r="AB145" s="89"/>
      <c r="AC145" s="89"/>
      <c r="AD145" s="89"/>
      <c r="AE145" s="89"/>
      <c r="AF145" s="89"/>
      <c r="AG145" s="89"/>
      <c r="AH145" s="160">
        <f>0+1-1+1-1+1-1+1+1</f>
        <v>2</v>
      </c>
      <c r="AI145" s="90"/>
      <c r="AJ145" s="161">
        <f t="shared" si="149"/>
        <v>2</v>
      </c>
    </row>
    <row r="146" ht="19.5" customHeight="1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79"/>
      <c r="Z146" s="108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18">
        <f>SUM(AJ135:AJ145)</f>
        <v>23</v>
      </c>
    </row>
    <row r="147" ht="19.5" customHeight="1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79"/>
    </row>
    <row r="148" ht="19.5" customHeight="1">
      <c r="A148" s="111" t="s">
        <v>123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1"/>
      <c r="Z148" s="159" t="s">
        <v>111</v>
      </c>
      <c r="AA148" s="50"/>
      <c r="AB148" s="50"/>
      <c r="AC148" s="50"/>
      <c r="AD148" s="50"/>
      <c r="AE148" s="50"/>
      <c r="AF148" s="50"/>
      <c r="AG148" s="50"/>
      <c r="AH148" s="50"/>
      <c r="AI148" s="50"/>
      <c r="AJ148" s="51"/>
    </row>
    <row r="149" ht="19.5" customHeight="1">
      <c r="A149" s="81"/>
      <c r="B149" s="82" t="s">
        <v>1</v>
      </c>
      <c r="C149" s="50"/>
      <c r="D149" s="50"/>
      <c r="E149" s="50"/>
      <c r="F149" s="50"/>
      <c r="G149" s="50"/>
      <c r="H149" s="50"/>
      <c r="I149" s="50"/>
      <c r="J149" s="51"/>
      <c r="K149" s="114"/>
      <c r="Z149" s="81"/>
      <c r="AA149" s="82" t="s">
        <v>124</v>
      </c>
      <c r="AB149" s="50"/>
      <c r="AC149" s="50"/>
      <c r="AD149" s="50"/>
      <c r="AE149" s="50"/>
      <c r="AF149" s="50"/>
      <c r="AG149" s="50"/>
      <c r="AH149" s="50"/>
      <c r="AI149" s="51"/>
      <c r="AJ149" s="83"/>
    </row>
    <row r="150" ht="19.5" customHeight="1">
      <c r="A150" s="81"/>
      <c r="B150" s="112">
        <v>5.0</v>
      </c>
      <c r="C150" s="112">
        <v>7.0</v>
      </c>
      <c r="D150" s="112">
        <v>9.0</v>
      </c>
      <c r="E150" s="112">
        <v>11.0</v>
      </c>
      <c r="F150" s="112">
        <v>13.0</v>
      </c>
      <c r="G150" s="112">
        <v>15.0</v>
      </c>
      <c r="H150" s="112">
        <v>17.0</v>
      </c>
      <c r="I150" s="112">
        <v>19.0</v>
      </c>
      <c r="J150" s="112"/>
      <c r="K150" s="119" t="s">
        <v>49</v>
      </c>
      <c r="Z150" s="81" t="s">
        <v>52</v>
      </c>
      <c r="AA150" s="89">
        <v>28.0</v>
      </c>
      <c r="AB150" s="89">
        <v>30.0</v>
      </c>
      <c r="AC150" s="89">
        <v>32.0</v>
      </c>
      <c r="AD150" s="89">
        <v>34.0</v>
      </c>
      <c r="AE150" s="89">
        <v>36.0</v>
      </c>
      <c r="AF150" s="89">
        <v>38.0</v>
      </c>
      <c r="AG150" s="89">
        <v>40.0</v>
      </c>
      <c r="AH150" s="89"/>
      <c r="AI150" s="90"/>
      <c r="AJ150" s="83"/>
    </row>
    <row r="151" ht="19.5" customHeight="1">
      <c r="A151" s="84" t="s">
        <v>125</v>
      </c>
      <c r="B151" s="89">
        <f>19+1</f>
        <v>20</v>
      </c>
      <c r="C151" s="89">
        <f>5+17</f>
        <v>22</v>
      </c>
      <c r="D151" s="89">
        <f>0+12-1</f>
        <v>11</v>
      </c>
      <c r="E151" s="89">
        <f>0+6</f>
        <v>6</v>
      </c>
      <c r="F151" s="89">
        <f>5+5-3</f>
        <v>7</v>
      </c>
      <c r="G151" s="89">
        <f>4+3-2</f>
        <v>5</v>
      </c>
      <c r="H151" s="89"/>
      <c r="I151" s="89"/>
      <c r="J151" s="89"/>
      <c r="K151" s="114">
        <f>SUM(B151:J151)</f>
        <v>71</v>
      </c>
      <c r="Z151" s="81"/>
      <c r="AA151" s="112" t="s">
        <v>4</v>
      </c>
      <c r="AB151" s="112" t="s">
        <v>53</v>
      </c>
      <c r="AC151" s="112" t="s">
        <v>54</v>
      </c>
      <c r="AD151" s="112" t="s">
        <v>55</v>
      </c>
      <c r="AE151" s="112" t="s">
        <v>56</v>
      </c>
      <c r="AF151" s="112" t="s">
        <v>9</v>
      </c>
      <c r="AG151" s="112" t="s">
        <v>10</v>
      </c>
      <c r="AH151" s="112" t="s">
        <v>11</v>
      </c>
      <c r="AI151" s="85" t="s">
        <v>12</v>
      </c>
      <c r="AJ151" s="134" t="s">
        <v>49</v>
      </c>
    </row>
    <row r="152" ht="19.5" customHeight="1">
      <c r="A152" s="108"/>
      <c r="B152" s="109"/>
      <c r="C152" s="109"/>
      <c r="D152" s="109"/>
      <c r="E152" s="109"/>
      <c r="F152" s="109"/>
      <c r="G152" s="132"/>
      <c r="H152" s="109"/>
      <c r="I152" s="109"/>
      <c r="J152" s="109"/>
      <c r="K152" s="79"/>
      <c r="Z152" s="106" t="s">
        <v>22</v>
      </c>
      <c r="AA152" s="89">
        <f>0+2</f>
        <v>2</v>
      </c>
      <c r="AB152" s="89">
        <f>0</f>
        <v>0</v>
      </c>
      <c r="AC152" s="89">
        <f>0+1-1+1-1</f>
        <v>0</v>
      </c>
      <c r="AD152" s="89">
        <f>0+1-1+1</f>
        <v>1</v>
      </c>
      <c r="AE152" s="89">
        <f t="shared" ref="AE152:AF152" si="150">0</f>
        <v>0</v>
      </c>
      <c r="AF152" s="89">
        <f t="shared" si="150"/>
        <v>0</v>
      </c>
      <c r="AG152" s="89">
        <f t="shared" ref="AG152:AG153" si="152">0+1-1+1</f>
        <v>1</v>
      </c>
      <c r="AH152" s="89">
        <f t="shared" ref="AH152:AI152" si="151">0</f>
        <v>0</v>
      </c>
      <c r="AI152" s="89">
        <f t="shared" si="151"/>
        <v>0</v>
      </c>
      <c r="AJ152" s="114">
        <f t="shared" ref="AJ152:AJ154" si="154">SUM(AA152:AI152)</f>
        <v>4</v>
      </c>
    </row>
    <row r="153" ht="19.5" customHeight="1">
      <c r="A153" s="111" t="s">
        <v>126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1"/>
      <c r="Z153" s="106" t="s">
        <v>14</v>
      </c>
      <c r="AA153" s="89">
        <f>0+2-1+1</f>
        <v>2</v>
      </c>
      <c r="AB153" s="89">
        <f>0+1</f>
        <v>1</v>
      </c>
      <c r="AC153" s="89">
        <f>0+2</f>
        <v>2</v>
      </c>
      <c r="AD153" s="89">
        <f>0+2-1</f>
        <v>1</v>
      </c>
      <c r="AE153" s="89">
        <f>0+1-1+1-1+1</f>
        <v>1</v>
      </c>
      <c r="AF153" s="100">
        <f>0+2-1+1-1+1-1+1</f>
        <v>2</v>
      </c>
      <c r="AG153" s="89">
        <f t="shared" si="152"/>
        <v>1</v>
      </c>
      <c r="AH153" s="89">
        <f t="shared" ref="AH153:AI153" si="153">0</f>
        <v>0</v>
      </c>
      <c r="AI153" s="89">
        <f t="shared" si="153"/>
        <v>0</v>
      </c>
      <c r="AJ153" s="161">
        <f t="shared" si="154"/>
        <v>10</v>
      </c>
    </row>
    <row r="154" ht="19.5" customHeight="1">
      <c r="A154" s="81"/>
      <c r="B154" s="82" t="s">
        <v>2</v>
      </c>
      <c r="C154" s="50"/>
      <c r="D154" s="50"/>
      <c r="E154" s="50"/>
      <c r="F154" s="50"/>
      <c r="G154" s="50"/>
      <c r="H154" s="50"/>
      <c r="I154" s="50"/>
      <c r="J154" s="51"/>
      <c r="K154" s="114"/>
      <c r="Z154" s="84" t="s">
        <v>27</v>
      </c>
      <c r="AA154" s="89">
        <f t="shared" ref="AA154:AB154" si="155">0</f>
        <v>0</v>
      </c>
      <c r="AB154" s="89">
        <f t="shared" si="155"/>
        <v>0</v>
      </c>
      <c r="AC154" s="89">
        <f>0+1</f>
        <v>1</v>
      </c>
      <c r="AD154" s="89">
        <f>0+1+3</f>
        <v>4</v>
      </c>
      <c r="AE154" s="89">
        <f>0+2</f>
        <v>2</v>
      </c>
      <c r="AF154" s="89">
        <f t="shared" ref="AF154:AI154" si="156">0</f>
        <v>0</v>
      </c>
      <c r="AG154" s="100">
        <f t="shared" si="156"/>
        <v>0</v>
      </c>
      <c r="AH154" s="89">
        <f t="shared" si="156"/>
        <v>0</v>
      </c>
      <c r="AI154" s="89">
        <f t="shared" si="156"/>
        <v>0</v>
      </c>
      <c r="AJ154" s="161">
        <f t="shared" si="154"/>
        <v>7</v>
      </c>
    </row>
    <row r="155" ht="19.5" customHeight="1">
      <c r="A155" s="81"/>
      <c r="B155" s="112">
        <v>28.0</v>
      </c>
      <c r="C155" s="112">
        <v>30.0</v>
      </c>
      <c r="D155" s="112">
        <v>32.0</v>
      </c>
      <c r="E155" s="112">
        <v>34.0</v>
      </c>
      <c r="F155" s="112">
        <v>36.0</v>
      </c>
      <c r="G155" s="112">
        <v>38.0</v>
      </c>
      <c r="H155" s="112">
        <v>40.0</v>
      </c>
      <c r="I155" s="112">
        <v>42.0</v>
      </c>
      <c r="J155" s="112">
        <v>44.0</v>
      </c>
      <c r="K155" s="119" t="s">
        <v>49</v>
      </c>
      <c r="Z155" s="108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18">
        <f>SUM(AJ152:AJ154)</f>
        <v>21</v>
      </c>
    </row>
    <row r="156" ht="19.5" customHeight="1">
      <c r="A156" s="84" t="s">
        <v>125</v>
      </c>
      <c r="B156" s="89">
        <f>1+8</f>
        <v>9</v>
      </c>
      <c r="C156" s="89">
        <f>0+21-1-2+2+1-6-1+1+6</f>
        <v>21</v>
      </c>
      <c r="D156" s="89">
        <f>1+19-1+1-1+1-1-2-6+4</f>
        <v>15</v>
      </c>
      <c r="E156" s="89">
        <f>0+17-6+6-6+11</f>
        <v>22</v>
      </c>
      <c r="F156" s="89">
        <f>11-1-1+1-1+1-6+7</f>
        <v>11</v>
      </c>
      <c r="G156" s="89">
        <f>9+1-1+1</f>
        <v>10</v>
      </c>
      <c r="H156" s="89">
        <f>5-1+1</f>
        <v>5</v>
      </c>
      <c r="I156" s="89"/>
      <c r="J156" s="89"/>
      <c r="K156" s="114">
        <f>SUM(B156:J156)</f>
        <v>93</v>
      </c>
    </row>
    <row r="157" ht="19.5" customHeight="1">
      <c r="A157" s="137"/>
      <c r="B157" s="137"/>
      <c r="C157" s="137"/>
      <c r="D157" s="137"/>
      <c r="E157" s="137"/>
      <c r="F157" s="137"/>
      <c r="G157" s="137"/>
      <c r="H157" s="137"/>
      <c r="I157" s="137"/>
      <c r="J157" s="137"/>
      <c r="K157" s="105">
        <f>SUM(K151:K156)</f>
        <v>164</v>
      </c>
    </row>
    <row r="158" ht="19.5" customHeight="1">
      <c r="A158" s="137"/>
      <c r="B158" s="137"/>
      <c r="C158" s="137"/>
      <c r="D158" s="137"/>
      <c r="E158" s="137"/>
      <c r="F158" s="137"/>
      <c r="G158" s="137"/>
      <c r="H158" s="137"/>
      <c r="I158" s="137"/>
      <c r="J158" s="137"/>
      <c r="K158" s="79"/>
      <c r="Y158" s="99"/>
    </row>
    <row r="159" ht="19.5" customHeight="1">
      <c r="A159" s="159" t="s">
        <v>111</v>
      </c>
      <c r="B159" s="50"/>
      <c r="C159" s="50"/>
      <c r="D159" s="50"/>
      <c r="E159" s="50"/>
      <c r="F159" s="50"/>
      <c r="G159" s="50"/>
      <c r="H159" s="50"/>
      <c r="I159" s="50"/>
      <c r="J159" s="50"/>
      <c r="K159" s="51"/>
      <c r="Z159" s="159" t="s">
        <v>111</v>
      </c>
      <c r="AA159" s="50"/>
      <c r="AB159" s="50"/>
      <c r="AC159" s="50"/>
      <c r="AD159" s="50"/>
      <c r="AE159" s="50"/>
      <c r="AF159" s="50"/>
      <c r="AG159" s="50"/>
      <c r="AH159" s="50"/>
      <c r="AI159" s="50"/>
      <c r="AJ159" s="51"/>
    </row>
    <row r="160" ht="19.5" customHeight="1">
      <c r="A160" s="81"/>
      <c r="B160" s="82" t="s">
        <v>127</v>
      </c>
      <c r="C160" s="50"/>
      <c r="D160" s="50"/>
      <c r="E160" s="50"/>
      <c r="F160" s="50"/>
      <c r="G160" s="50"/>
      <c r="H160" s="50"/>
      <c r="I160" s="50"/>
      <c r="J160" s="51"/>
      <c r="K160" s="114"/>
      <c r="Z160" s="81"/>
      <c r="AA160" s="82" t="s">
        <v>128</v>
      </c>
      <c r="AB160" s="50"/>
      <c r="AC160" s="50"/>
      <c r="AD160" s="50"/>
      <c r="AE160" s="50"/>
      <c r="AF160" s="50"/>
      <c r="AG160" s="50"/>
      <c r="AH160" s="50"/>
      <c r="AI160" s="51"/>
      <c r="AJ160" s="83"/>
    </row>
    <row r="161" ht="19.5" customHeight="1">
      <c r="A161" s="81" t="s">
        <v>52</v>
      </c>
      <c r="B161" s="89">
        <v>28.0</v>
      </c>
      <c r="C161" s="89">
        <v>30.0</v>
      </c>
      <c r="D161" s="89">
        <v>32.0</v>
      </c>
      <c r="E161" s="89">
        <v>34.0</v>
      </c>
      <c r="F161" s="89">
        <v>36.0</v>
      </c>
      <c r="G161" s="89">
        <v>38.0</v>
      </c>
      <c r="H161" s="89">
        <v>40.0</v>
      </c>
      <c r="I161" s="89"/>
      <c r="J161" s="90"/>
      <c r="K161" s="114"/>
      <c r="Z161" s="81" t="s">
        <v>52</v>
      </c>
      <c r="AA161" s="89">
        <v>28.0</v>
      </c>
      <c r="AB161" s="89">
        <v>30.0</v>
      </c>
      <c r="AC161" s="89">
        <v>32.0</v>
      </c>
      <c r="AD161" s="89">
        <v>34.0</v>
      </c>
      <c r="AE161" s="89">
        <v>36.0</v>
      </c>
      <c r="AF161" s="89">
        <v>38.0</v>
      </c>
      <c r="AG161" s="89">
        <v>40.0</v>
      </c>
      <c r="AH161" s="105" t="s">
        <v>114</v>
      </c>
      <c r="AI161" s="90"/>
      <c r="AJ161" s="83"/>
    </row>
    <row r="162" ht="19.5" customHeight="1">
      <c r="A162" s="81"/>
      <c r="B162" s="112" t="s">
        <v>4</v>
      </c>
      <c r="C162" s="112" t="s">
        <v>53</v>
      </c>
      <c r="D162" s="112" t="s">
        <v>54</v>
      </c>
      <c r="E162" s="112" t="s">
        <v>55</v>
      </c>
      <c r="F162" s="112" t="s">
        <v>56</v>
      </c>
      <c r="G162" s="112" t="s">
        <v>9</v>
      </c>
      <c r="H162" s="112" t="s">
        <v>10</v>
      </c>
      <c r="I162" s="112" t="s">
        <v>11</v>
      </c>
      <c r="J162" s="85" t="s">
        <v>12</v>
      </c>
      <c r="K162" s="119" t="s">
        <v>49</v>
      </c>
      <c r="Z162" s="81"/>
      <c r="AA162" s="112" t="s">
        <v>4</v>
      </c>
      <c r="AB162" s="112" t="s">
        <v>53</v>
      </c>
      <c r="AC162" s="112" t="s">
        <v>54</v>
      </c>
      <c r="AD162" s="112" t="s">
        <v>55</v>
      </c>
      <c r="AE162" s="112" t="s">
        <v>56</v>
      </c>
      <c r="AF162" s="112" t="s">
        <v>9</v>
      </c>
      <c r="AG162" s="112" t="s">
        <v>10</v>
      </c>
      <c r="AH162" s="112" t="s">
        <v>11</v>
      </c>
      <c r="AI162" s="85" t="s">
        <v>12</v>
      </c>
      <c r="AJ162" s="134" t="s">
        <v>49</v>
      </c>
    </row>
    <row r="163" ht="19.5" customHeight="1">
      <c r="A163" s="106" t="s">
        <v>129</v>
      </c>
      <c r="B163" s="89">
        <f>0</f>
        <v>0</v>
      </c>
      <c r="C163" s="89">
        <f>0+2+1-2+2-1</f>
        <v>2</v>
      </c>
      <c r="D163" s="89">
        <f>0+1-1</f>
        <v>0</v>
      </c>
      <c r="E163" s="89">
        <f>0+1+1-2+1-1</f>
        <v>0</v>
      </c>
      <c r="F163" s="89">
        <f>0+1-1+1+1-1-1+1</f>
        <v>1</v>
      </c>
      <c r="G163" s="89">
        <f t="shared" ref="G163:H163" si="157">0+1</f>
        <v>1</v>
      </c>
      <c r="H163" s="89">
        <f t="shared" si="157"/>
        <v>1</v>
      </c>
      <c r="I163" s="89">
        <f>0+3</f>
        <v>3</v>
      </c>
      <c r="J163" s="89">
        <f>0</f>
        <v>0</v>
      </c>
      <c r="K163" s="114">
        <f>SUM(B163:J163)</f>
        <v>8</v>
      </c>
      <c r="Z163" s="106" t="s">
        <v>22</v>
      </c>
      <c r="AA163" s="89">
        <f t="shared" ref="AA163:AG163" si="158">0</f>
        <v>0</v>
      </c>
      <c r="AB163" s="89">
        <f t="shared" si="158"/>
        <v>0</v>
      </c>
      <c r="AC163" s="89">
        <f t="shared" si="158"/>
        <v>0</v>
      </c>
      <c r="AD163" s="89">
        <f t="shared" si="158"/>
        <v>0</v>
      </c>
      <c r="AE163" s="89">
        <f t="shared" si="158"/>
        <v>0</v>
      </c>
      <c r="AF163" s="89">
        <f t="shared" si="158"/>
        <v>0</v>
      </c>
      <c r="AG163" s="89">
        <f t="shared" si="158"/>
        <v>0</v>
      </c>
      <c r="AH163" s="89">
        <f>0+1+6+2-1+1-9+9-1+1</f>
        <v>9</v>
      </c>
      <c r="AI163" s="89">
        <f t="shared" ref="AI163:AI164" si="160">0</f>
        <v>0</v>
      </c>
      <c r="AJ163" s="161">
        <f>SUM(AA163:AI163)-1</f>
        <v>8</v>
      </c>
    </row>
    <row r="164" ht="19.5" customHeight="1">
      <c r="A164" s="108"/>
      <c r="B164" s="109"/>
      <c r="C164" s="109"/>
      <c r="D164" s="109"/>
      <c r="E164" s="109"/>
      <c r="F164" s="109"/>
      <c r="G164" s="109"/>
      <c r="H164" s="109"/>
      <c r="I164" s="109"/>
      <c r="J164" s="109" t="s">
        <v>130</v>
      </c>
      <c r="K164" s="105">
        <f>SUM(K163)</f>
        <v>8</v>
      </c>
      <c r="Z164" s="84" t="s">
        <v>27</v>
      </c>
      <c r="AA164" s="89">
        <f t="shared" ref="AA164:AG164" si="159">0</f>
        <v>0</v>
      </c>
      <c r="AB164" s="89">
        <f t="shared" si="159"/>
        <v>0</v>
      </c>
      <c r="AC164" s="89">
        <f t="shared" si="159"/>
        <v>0</v>
      </c>
      <c r="AD164" s="89">
        <f t="shared" si="159"/>
        <v>0</v>
      </c>
      <c r="AE164" s="89">
        <f t="shared" si="159"/>
        <v>0</v>
      </c>
      <c r="AF164" s="89">
        <f t="shared" si="159"/>
        <v>0</v>
      </c>
      <c r="AG164" s="89">
        <f t="shared" si="159"/>
        <v>0</v>
      </c>
      <c r="AH164" s="89">
        <f>0+2+1-1+1-1-2</f>
        <v>0</v>
      </c>
      <c r="AI164" s="89">
        <f t="shared" si="160"/>
        <v>0</v>
      </c>
      <c r="AJ164" s="161">
        <f>SUM(AA164:AI164)</f>
        <v>0</v>
      </c>
    </row>
    <row r="165" ht="19.5" customHeight="1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79"/>
      <c r="Z165" s="108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18">
        <f>SUM(AJ163:AJ164)</f>
        <v>8</v>
      </c>
    </row>
    <row r="166" ht="19.5" customHeight="1">
      <c r="A166" s="159" t="s">
        <v>111</v>
      </c>
      <c r="B166" s="50"/>
      <c r="C166" s="50"/>
      <c r="D166" s="50"/>
      <c r="E166" s="50"/>
      <c r="F166" s="50"/>
      <c r="G166" s="50"/>
      <c r="H166" s="50"/>
      <c r="I166" s="50"/>
      <c r="J166" s="50"/>
      <c r="K166" s="51"/>
    </row>
    <row r="167" ht="19.5" customHeight="1">
      <c r="A167" s="81"/>
      <c r="B167" s="82" t="s">
        <v>131</v>
      </c>
      <c r="C167" s="50"/>
      <c r="D167" s="50"/>
      <c r="E167" s="50"/>
      <c r="F167" s="50"/>
      <c r="G167" s="50"/>
      <c r="H167" s="50"/>
      <c r="I167" s="50"/>
      <c r="J167" s="51"/>
      <c r="K167" s="114"/>
    </row>
    <row r="168" ht="19.5" customHeight="1">
      <c r="A168" s="81" t="s">
        <v>52</v>
      </c>
      <c r="B168" s="89">
        <v>28.0</v>
      </c>
      <c r="C168" s="89">
        <v>30.0</v>
      </c>
      <c r="D168" s="89">
        <v>32.0</v>
      </c>
      <c r="E168" s="89">
        <v>34.0</v>
      </c>
      <c r="F168" s="89">
        <v>36.0</v>
      </c>
      <c r="G168" s="89">
        <v>38.0</v>
      </c>
      <c r="H168" s="89">
        <v>40.0</v>
      </c>
      <c r="I168" s="89"/>
      <c r="J168" s="90"/>
      <c r="K168" s="114"/>
    </row>
    <row r="169" ht="19.5" customHeight="1">
      <c r="A169" s="81"/>
      <c r="B169" s="112" t="s">
        <v>4</v>
      </c>
      <c r="C169" s="112" t="s">
        <v>53</v>
      </c>
      <c r="D169" s="112" t="s">
        <v>54</v>
      </c>
      <c r="E169" s="112" t="s">
        <v>55</v>
      </c>
      <c r="F169" s="112" t="s">
        <v>56</v>
      </c>
      <c r="G169" s="112" t="s">
        <v>9</v>
      </c>
      <c r="H169" s="112" t="s">
        <v>10</v>
      </c>
      <c r="I169" s="112" t="s">
        <v>11</v>
      </c>
      <c r="J169" s="85" t="s">
        <v>12</v>
      </c>
      <c r="K169" s="119" t="s">
        <v>49</v>
      </c>
    </row>
    <row r="170" ht="19.5" customHeight="1">
      <c r="A170" s="106" t="s">
        <v>132</v>
      </c>
      <c r="B170" s="89"/>
      <c r="C170" s="89">
        <f>0+1</f>
        <v>1</v>
      </c>
      <c r="D170" s="89">
        <f>0+1-1+3</f>
        <v>3</v>
      </c>
      <c r="E170" s="89">
        <f>0+1-1+1</f>
        <v>1</v>
      </c>
      <c r="F170" s="89"/>
      <c r="G170" s="89">
        <f>0+1-1</f>
        <v>0</v>
      </c>
      <c r="H170" s="89"/>
      <c r="I170" s="89"/>
      <c r="J170" s="90"/>
      <c r="K170" s="114">
        <f>SUM(B170:J170)</f>
        <v>5</v>
      </c>
    </row>
    <row r="171" ht="44.25" customHeight="1">
      <c r="A171" s="108"/>
      <c r="B171" s="109"/>
      <c r="C171" s="109"/>
      <c r="D171" s="109"/>
      <c r="E171" s="109"/>
      <c r="F171" s="109"/>
      <c r="G171" s="109"/>
      <c r="H171" s="109"/>
      <c r="I171" s="109"/>
      <c r="J171" s="109"/>
      <c r="K171" s="105">
        <f>SUM(K170)</f>
        <v>5</v>
      </c>
    </row>
    <row r="172" ht="19.5" customHeight="1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79"/>
    </row>
    <row r="173" ht="19.5" customHeight="1">
      <c r="A173" s="159" t="s">
        <v>111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1"/>
    </row>
    <row r="174" ht="19.5" customHeight="1">
      <c r="A174" s="81"/>
      <c r="B174" s="82" t="s">
        <v>133</v>
      </c>
      <c r="C174" s="50"/>
      <c r="D174" s="50"/>
      <c r="E174" s="50"/>
      <c r="F174" s="50"/>
      <c r="G174" s="50"/>
      <c r="H174" s="50"/>
      <c r="I174" s="50"/>
      <c r="J174" s="51"/>
      <c r="K174" s="114"/>
    </row>
    <row r="175" ht="19.5" customHeight="1">
      <c r="A175" s="81" t="s">
        <v>52</v>
      </c>
      <c r="B175" s="89">
        <v>28.0</v>
      </c>
      <c r="C175" s="89">
        <v>30.0</v>
      </c>
      <c r="D175" s="89">
        <v>32.0</v>
      </c>
      <c r="E175" s="89">
        <v>34.0</v>
      </c>
      <c r="F175" s="89">
        <v>36.0</v>
      </c>
      <c r="G175" s="89">
        <v>38.0</v>
      </c>
      <c r="H175" s="89">
        <v>40.0</v>
      </c>
      <c r="I175" s="89"/>
      <c r="J175" s="90"/>
      <c r="K175" s="114"/>
    </row>
    <row r="176" ht="19.5" customHeight="1">
      <c r="A176" s="81"/>
      <c r="B176" s="112" t="s">
        <v>4</v>
      </c>
      <c r="C176" s="112" t="s">
        <v>53</v>
      </c>
      <c r="D176" s="112" t="s">
        <v>54</v>
      </c>
      <c r="E176" s="112" t="s">
        <v>55</v>
      </c>
      <c r="F176" s="112" t="s">
        <v>56</v>
      </c>
      <c r="G176" s="112" t="s">
        <v>9</v>
      </c>
      <c r="H176" s="112" t="s">
        <v>10</v>
      </c>
      <c r="I176" s="112" t="s">
        <v>11</v>
      </c>
      <c r="J176" s="85" t="s">
        <v>12</v>
      </c>
      <c r="K176" s="119" t="s">
        <v>49</v>
      </c>
    </row>
    <row r="177" ht="19.5" customHeight="1">
      <c r="A177" s="106" t="s">
        <v>132</v>
      </c>
      <c r="B177" s="89"/>
      <c r="C177" s="89">
        <f>0+1+4+1-5-1+1+3+1</f>
        <v>5</v>
      </c>
      <c r="D177" s="89">
        <f>0+4+2-1+1-1-4-1+3-2+2-1+1-2</f>
        <v>1</v>
      </c>
      <c r="E177" s="89">
        <f>0+4+2-4-1-1+1-1+1+2-2+2-1+1-2</f>
        <v>1</v>
      </c>
      <c r="F177" s="89">
        <f>0+2-2+2+1-1+1-3</f>
        <v>0</v>
      </c>
      <c r="G177" s="89">
        <f>1+2-2+2+1</f>
        <v>4</v>
      </c>
      <c r="H177" s="89">
        <f>0+1-1</f>
        <v>0</v>
      </c>
      <c r="I177" s="89"/>
      <c r="J177" s="90"/>
      <c r="K177" s="114">
        <f>SUM(B177:J177)</f>
        <v>11</v>
      </c>
    </row>
    <row r="178" ht="19.5" customHeight="1">
      <c r="A178" s="108"/>
      <c r="B178" s="109"/>
      <c r="C178" s="109"/>
      <c r="D178" s="109"/>
      <c r="E178" s="109"/>
      <c r="F178" s="109"/>
      <c r="G178" s="109"/>
      <c r="H178" s="109"/>
      <c r="I178" s="109"/>
      <c r="J178" s="109"/>
      <c r="K178" s="105">
        <f>SUM(K177)</f>
        <v>11</v>
      </c>
    </row>
    <row r="179" ht="19.5" customHeight="1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79"/>
    </row>
    <row r="180" ht="19.5" customHeight="1">
      <c r="A180" s="108"/>
      <c r="B180" s="109"/>
      <c r="C180" s="109"/>
      <c r="D180" s="109"/>
      <c r="E180" s="109"/>
      <c r="F180" s="109"/>
      <c r="G180" s="109"/>
      <c r="H180" s="109"/>
      <c r="I180" s="109"/>
      <c r="J180" s="109"/>
      <c r="K180" s="89"/>
    </row>
    <row r="181" ht="19.5" customHeight="1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79"/>
    </row>
    <row r="182" ht="19.5" customHeight="1">
      <c r="A182" s="162" t="s">
        <v>134</v>
      </c>
      <c r="B182" s="50"/>
      <c r="C182" s="50"/>
      <c r="D182" s="50"/>
      <c r="E182" s="50"/>
      <c r="F182" s="50"/>
      <c r="G182" s="50"/>
      <c r="H182" s="50"/>
      <c r="I182" s="50"/>
      <c r="J182" s="50"/>
      <c r="K182" s="51"/>
    </row>
    <row r="183" ht="19.5" customHeight="1">
      <c r="A183" s="81"/>
      <c r="B183" s="82" t="s">
        <v>135</v>
      </c>
      <c r="C183" s="50"/>
      <c r="D183" s="50"/>
      <c r="E183" s="50"/>
      <c r="F183" s="50"/>
      <c r="G183" s="50"/>
      <c r="H183" s="50"/>
      <c r="I183" s="50"/>
      <c r="J183" s="77"/>
      <c r="K183" s="114"/>
    </row>
    <row r="184" ht="19.5" customHeight="1">
      <c r="A184" s="81" t="s">
        <v>52</v>
      </c>
      <c r="B184" s="89">
        <v>28.0</v>
      </c>
      <c r="C184" s="89">
        <v>30.0</v>
      </c>
      <c r="D184" s="89">
        <v>32.0</v>
      </c>
      <c r="E184" s="89">
        <v>34.0</v>
      </c>
      <c r="F184" s="89">
        <v>36.0</v>
      </c>
      <c r="G184" s="89">
        <v>38.0</v>
      </c>
      <c r="H184" s="89">
        <v>40.0</v>
      </c>
      <c r="I184" s="89"/>
      <c r="J184" s="90"/>
      <c r="K184" s="114"/>
    </row>
    <row r="185" ht="19.5" customHeight="1">
      <c r="A185" s="81"/>
      <c r="B185" s="112" t="s">
        <v>114</v>
      </c>
      <c r="C185" s="112"/>
      <c r="D185" s="112"/>
      <c r="E185" s="112"/>
      <c r="F185" s="112"/>
      <c r="G185" s="112"/>
      <c r="H185" s="112"/>
      <c r="I185" s="112"/>
      <c r="J185" s="85"/>
      <c r="K185" s="119" t="s">
        <v>49</v>
      </c>
    </row>
    <row r="186" ht="19.5" customHeight="1">
      <c r="A186" s="84" t="s">
        <v>14</v>
      </c>
      <c r="B186" s="89">
        <f>4-1+1-1+1-1+1-1+1-1+1-4+1+4-1+1</f>
        <v>5</v>
      </c>
      <c r="C186" s="89"/>
      <c r="D186" s="89"/>
      <c r="E186" s="89"/>
      <c r="F186" s="89"/>
      <c r="G186" s="89"/>
      <c r="H186" s="89"/>
      <c r="I186" s="89"/>
      <c r="J186" s="90"/>
      <c r="K186" s="114">
        <f t="shared" ref="K186:K188" si="161">SUM(B186:J186)</f>
        <v>5</v>
      </c>
    </row>
    <row r="187" ht="19.5" customHeight="1">
      <c r="A187" s="84" t="s">
        <v>13</v>
      </c>
      <c r="B187" s="89">
        <f>1-1+1</f>
        <v>1</v>
      </c>
      <c r="C187" s="89"/>
      <c r="D187" s="89"/>
      <c r="E187" s="89"/>
      <c r="F187" s="89"/>
      <c r="G187" s="89"/>
      <c r="H187" s="89"/>
      <c r="I187" s="89"/>
      <c r="J187" s="90"/>
      <c r="K187" s="114">
        <f t="shared" si="161"/>
        <v>1</v>
      </c>
    </row>
    <row r="188" ht="19.5" customHeight="1">
      <c r="A188" s="84" t="s">
        <v>116</v>
      </c>
      <c r="B188" s="89"/>
      <c r="C188" s="89"/>
      <c r="D188" s="89"/>
      <c r="E188" s="89"/>
      <c r="F188" s="89"/>
      <c r="G188" s="89"/>
      <c r="H188" s="89"/>
      <c r="I188" s="89"/>
      <c r="J188" s="90"/>
      <c r="K188" s="114">
        <f t="shared" si="161"/>
        <v>0</v>
      </c>
    </row>
    <row r="189" ht="19.5" customHeight="1">
      <c r="A189" s="108"/>
      <c r="B189" s="109"/>
      <c r="C189" s="109"/>
      <c r="D189" s="109"/>
      <c r="E189" s="109"/>
      <c r="F189" s="109"/>
      <c r="G189" s="109"/>
      <c r="H189" s="109"/>
      <c r="I189" s="109"/>
      <c r="J189" s="109"/>
      <c r="K189" s="105">
        <f>SUM(K186:K188)</f>
        <v>6</v>
      </c>
    </row>
    <row r="190" ht="19.5" customHeight="1">
      <c r="A190" s="81"/>
      <c r="B190" s="82" t="s">
        <v>136</v>
      </c>
      <c r="C190" s="50"/>
      <c r="D190" s="50"/>
      <c r="E190" s="50"/>
      <c r="F190" s="50"/>
      <c r="G190" s="50"/>
      <c r="H190" s="50"/>
      <c r="I190" s="50"/>
      <c r="J190" s="77"/>
      <c r="K190" s="114"/>
    </row>
    <row r="191" ht="19.5" customHeight="1">
      <c r="A191" s="81" t="s">
        <v>52</v>
      </c>
      <c r="B191" s="89">
        <v>28.0</v>
      </c>
      <c r="C191" s="89">
        <v>30.0</v>
      </c>
      <c r="D191" s="89">
        <v>32.0</v>
      </c>
      <c r="E191" s="89">
        <v>34.0</v>
      </c>
      <c r="F191" s="89">
        <v>36.0</v>
      </c>
      <c r="G191" s="89">
        <v>38.0</v>
      </c>
      <c r="H191" s="89">
        <v>40.0</v>
      </c>
      <c r="I191" s="89"/>
      <c r="J191" s="90"/>
      <c r="K191" s="114"/>
    </row>
    <row r="192" ht="19.5" customHeight="1">
      <c r="A192" s="81"/>
      <c r="B192" s="112" t="s">
        <v>114</v>
      </c>
      <c r="C192" s="112"/>
      <c r="D192" s="112"/>
      <c r="E192" s="112"/>
      <c r="F192" s="112"/>
      <c r="G192" s="112"/>
      <c r="H192" s="112"/>
      <c r="I192" s="112"/>
      <c r="J192" s="85"/>
      <c r="K192" s="119" t="s">
        <v>49</v>
      </c>
    </row>
    <row r="193" ht="19.5" customHeight="1">
      <c r="A193" s="84" t="s">
        <v>57</v>
      </c>
      <c r="B193" s="89"/>
      <c r="C193" s="89"/>
      <c r="D193" s="89"/>
      <c r="E193" s="89"/>
      <c r="F193" s="89"/>
      <c r="G193" s="89"/>
      <c r="H193" s="89"/>
      <c r="I193" s="89"/>
      <c r="J193" s="90"/>
      <c r="K193" s="114">
        <f t="shared" ref="K193:K194" si="162">SUM(B193:J193)</f>
        <v>0</v>
      </c>
    </row>
    <row r="194" ht="19.5" customHeight="1">
      <c r="A194" s="84" t="s">
        <v>13</v>
      </c>
      <c r="B194" s="89"/>
      <c r="C194" s="89"/>
      <c r="D194" s="89"/>
      <c r="E194" s="89"/>
      <c r="F194" s="89"/>
      <c r="G194" s="89"/>
      <c r="H194" s="89"/>
      <c r="I194" s="89"/>
      <c r="J194" s="90"/>
      <c r="K194" s="114">
        <f t="shared" si="162"/>
        <v>0</v>
      </c>
    </row>
    <row r="195" ht="19.5" customHeight="1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79"/>
    </row>
    <row r="196" ht="19.5" customHeight="1">
      <c r="A196" s="81"/>
      <c r="B196" s="82" t="s">
        <v>137</v>
      </c>
      <c r="C196" s="50"/>
      <c r="D196" s="50"/>
      <c r="E196" s="50"/>
      <c r="F196" s="50"/>
      <c r="G196" s="50"/>
      <c r="H196" s="50"/>
      <c r="I196" s="50"/>
      <c r="J196" s="77"/>
      <c r="K196" s="114"/>
    </row>
    <row r="197" ht="19.5" customHeight="1">
      <c r="A197" s="81" t="s">
        <v>52</v>
      </c>
      <c r="B197" s="89">
        <v>28.0</v>
      </c>
      <c r="C197" s="89">
        <v>30.0</v>
      </c>
      <c r="D197" s="89">
        <v>32.0</v>
      </c>
      <c r="E197" s="89">
        <v>34.0</v>
      </c>
      <c r="F197" s="89">
        <v>36.0</v>
      </c>
      <c r="G197" s="89">
        <v>38.0</v>
      </c>
      <c r="H197" s="89">
        <v>40.0</v>
      </c>
      <c r="I197" s="89"/>
      <c r="J197" s="90"/>
      <c r="K197" s="114"/>
    </row>
    <row r="198" ht="19.5" customHeight="1">
      <c r="A198" s="81"/>
      <c r="B198" s="112" t="s">
        <v>114</v>
      </c>
      <c r="C198" s="112"/>
      <c r="D198" s="112"/>
      <c r="E198" s="112"/>
      <c r="F198" s="112"/>
      <c r="G198" s="112"/>
      <c r="H198" s="112"/>
      <c r="I198" s="112"/>
      <c r="J198" s="85"/>
      <c r="K198" s="119" t="s">
        <v>49</v>
      </c>
    </row>
    <row r="199" ht="19.5" customHeight="1">
      <c r="A199" s="84" t="s">
        <v>57</v>
      </c>
      <c r="B199" s="89">
        <f>+1-1</f>
        <v>0</v>
      </c>
      <c r="C199" s="89"/>
      <c r="D199" s="89"/>
      <c r="E199" s="89"/>
      <c r="F199" s="89"/>
      <c r="G199" s="89"/>
      <c r="H199" s="89"/>
      <c r="I199" s="89"/>
      <c r="J199" s="90"/>
      <c r="K199" s="114">
        <f t="shared" ref="K199:K200" si="163">SUM(B199:J199)</f>
        <v>0</v>
      </c>
    </row>
    <row r="200" ht="19.5" customHeight="1">
      <c r="A200" s="84" t="s">
        <v>13</v>
      </c>
      <c r="B200" s="163">
        <f>1+1-2+2</f>
        <v>2</v>
      </c>
      <c r="C200" s="89"/>
      <c r="D200" s="89"/>
      <c r="E200" s="89"/>
      <c r="F200" s="89"/>
      <c r="G200" s="89"/>
      <c r="H200" s="89"/>
      <c r="I200" s="89"/>
      <c r="J200" s="90"/>
      <c r="K200" s="114">
        <f t="shared" si="163"/>
        <v>2</v>
      </c>
    </row>
    <row r="201" ht="19.5" customHeight="1">
      <c r="A201" s="137"/>
      <c r="B201" s="137"/>
      <c r="C201" s="137"/>
      <c r="D201" s="137"/>
      <c r="E201" s="137"/>
      <c r="F201" s="137"/>
      <c r="G201" s="137"/>
      <c r="H201" s="137"/>
      <c r="I201" s="137"/>
      <c r="J201" s="137"/>
      <c r="K201" s="79"/>
    </row>
    <row r="202" ht="19.5" customHeight="1">
      <c r="A202" s="162" t="s">
        <v>134</v>
      </c>
      <c r="B202" s="50"/>
      <c r="C202" s="50"/>
      <c r="D202" s="50"/>
      <c r="E202" s="50"/>
      <c r="F202" s="50"/>
      <c r="G202" s="50"/>
      <c r="H202" s="50"/>
      <c r="I202" s="50"/>
      <c r="J202" s="50"/>
      <c r="K202" s="51"/>
    </row>
    <row r="203" ht="19.5" customHeight="1">
      <c r="A203" s="81"/>
      <c r="B203" s="164" t="s">
        <v>138</v>
      </c>
      <c r="C203" s="50"/>
      <c r="D203" s="50"/>
      <c r="E203" s="50"/>
      <c r="F203" s="50"/>
      <c r="G203" s="50"/>
      <c r="H203" s="50"/>
      <c r="I203" s="50"/>
      <c r="J203" s="77"/>
      <c r="K203" s="114"/>
    </row>
    <row r="204" ht="19.5" customHeight="1">
      <c r="A204" s="81" t="s">
        <v>52</v>
      </c>
      <c r="B204" s="89">
        <v>28.0</v>
      </c>
      <c r="C204" s="89">
        <v>30.0</v>
      </c>
      <c r="D204" s="89">
        <v>32.0</v>
      </c>
      <c r="E204" s="89">
        <v>34.0</v>
      </c>
      <c r="F204" s="89">
        <v>36.0</v>
      </c>
      <c r="G204" s="89">
        <v>38.0</v>
      </c>
      <c r="H204" s="89">
        <v>40.0</v>
      </c>
      <c r="I204" s="89"/>
      <c r="J204" s="90"/>
      <c r="K204" s="114"/>
    </row>
    <row r="205" ht="19.5" customHeight="1">
      <c r="A205" s="81"/>
      <c r="B205" s="112" t="s">
        <v>4</v>
      </c>
      <c r="C205" s="112" t="s">
        <v>53</v>
      </c>
      <c r="D205" s="112" t="s">
        <v>54</v>
      </c>
      <c r="E205" s="112" t="s">
        <v>55</v>
      </c>
      <c r="F205" s="112" t="s">
        <v>56</v>
      </c>
      <c r="G205" s="112" t="s">
        <v>9</v>
      </c>
      <c r="H205" s="112" t="s">
        <v>10</v>
      </c>
      <c r="I205" s="112" t="s">
        <v>11</v>
      </c>
      <c r="J205" s="85" t="s">
        <v>12</v>
      </c>
      <c r="K205" s="119" t="s">
        <v>49</v>
      </c>
    </row>
    <row r="206" ht="19.5" customHeight="1">
      <c r="A206" s="84" t="s">
        <v>13</v>
      </c>
      <c r="B206" s="89">
        <f>0+1</f>
        <v>1</v>
      </c>
      <c r="C206" s="89">
        <f>0+1</f>
        <v>1</v>
      </c>
      <c r="D206" s="89">
        <f>0+2-1+1+1-1-1+1</f>
        <v>2</v>
      </c>
      <c r="E206" s="89">
        <f>0+2-1+1-1+1-2+2</f>
        <v>2</v>
      </c>
      <c r="F206" s="89">
        <f>0+2-1+1-1</f>
        <v>1</v>
      </c>
      <c r="G206" s="89">
        <f>0+2</f>
        <v>2</v>
      </c>
      <c r="H206" s="89">
        <f>0+1</f>
        <v>1</v>
      </c>
      <c r="I206" s="89">
        <f t="shared" ref="I206:J206" si="164">0</f>
        <v>0</v>
      </c>
      <c r="J206" s="89">
        <f t="shared" si="164"/>
        <v>0</v>
      </c>
      <c r="K206" s="114">
        <f t="shared" ref="K206:K208" si="167">SUM(B206:J206)</f>
        <v>10</v>
      </c>
    </row>
    <row r="207" ht="19.5" customHeight="1">
      <c r="A207" s="84" t="s">
        <v>57</v>
      </c>
      <c r="B207" s="89">
        <f t="shared" ref="B207:B208" si="168">0</f>
        <v>0</v>
      </c>
      <c r="C207" s="89">
        <f>0+1-1+1-1+1+1</f>
        <v>2</v>
      </c>
      <c r="D207" s="89">
        <f t="shared" ref="D207:E207" si="165">0</f>
        <v>0</v>
      </c>
      <c r="E207" s="89">
        <f t="shared" si="165"/>
        <v>0</v>
      </c>
      <c r="F207" s="89">
        <f>0+2</f>
        <v>2</v>
      </c>
      <c r="G207" s="89">
        <f t="shared" ref="G207:J207" si="166">0</f>
        <v>0</v>
      </c>
      <c r="H207" s="89">
        <f t="shared" si="166"/>
        <v>0</v>
      </c>
      <c r="I207" s="89">
        <f t="shared" si="166"/>
        <v>0</v>
      </c>
      <c r="J207" s="89">
        <f t="shared" si="166"/>
        <v>0</v>
      </c>
      <c r="K207" s="114">
        <f t="shared" si="167"/>
        <v>4</v>
      </c>
    </row>
    <row r="208" ht="19.5" customHeight="1">
      <c r="A208" s="84" t="s">
        <v>17</v>
      </c>
      <c r="B208" s="89">
        <f t="shared" si="168"/>
        <v>0</v>
      </c>
      <c r="C208" s="89">
        <f t="shared" ref="C208:J208" si="169">0</f>
        <v>0</v>
      </c>
      <c r="D208" s="89">
        <f t="shared" si="169"/>
        <v>0</v>
      </c>
      <c r="E208" s="89">
        <f t="shared" si="169"/>
        <v>0</v>
      </c>
      <c r="F208" s="89">
        <f t="shared" si="169"/>
        <v>0</v>
      </c>
      <c r="G208" s="89">
        <f t="shared" si="169"/>
        <v>0</v>
      </c>
      <c r="H208" s="89">
        <f t="shared" si="169"/>
        <v>0</v>
      </c>
      <c r="I208" s="89">
        <f t="shared" si="169"/>
        <v>0</v>
      </c>
      <c r="J208" s="89">
        <f t="shared" si="169"/>
        <v>0</v>
      </c>
      <c r="K208" s="114">
        <f t="shared" si="167"/>
        <v>0</v>
      </c>
    </row>
    <row r="209" ht="19.5" customHeight="1">
      <c r="A209" s="108"/>
      <c r="B209" s="109"/>
      <c r="C209" s="109"/>
      <c r="D209" s="109"/>
      <c r="E209" s="109"/>
      <c r="F209" s="109"/>
      <c r="G209" s="109"/>
      <c r="H209" s="109"/>
      <c r="I209" s="109"/>
      <c r="J209" s="109"/>
      <c r="K209" s="105">
        <f>SUM(K206:K208)</f>
        <v>14</v>
      </c>
    </row>
    <row r="210" ht="19.5" customHeight="1">
      <c r="K210" s="124"/>
    </row>
    <row r="211" ht="19.5" customHeight="1">
      <c r="A211" s="159" t="s">
        <v>111</v>
      </c>
      <c r="B211" s="50"/>
      <c r="C211" s="50"/>
      <c r="D211" s="50"/>
      <c r="E211" s="50"/>
      <c r="F211" s="50"/>
      <c r="G211" s="50"/>
      <c r="H211" s="50"/>
      <c r="I211" s="50"/>
      <c r="J211" s="50"/>
      <c r="K211" s="51"/>
    </row>
    <row r="212" ht="19.5" customHeight="1">
      <c r="A212" s="81"/>
      <c r="B212" s="82" t="s">
        <v>139</v>
      </c>
      <c r="C212" s="50"/>
      <c r="D212" s="50"/>
      <c r="E212" s="50"/>
      <c r="F212" s="50"/>
      <c r="G212" s="50"/>
      <c r="H212" s="50"/>
      <c r="I212" s="50"/>
      <c r="J212" s="51"/>
      <c r="K212" s="114"/>
    </row>
    <row r="213" ht="19.5" customHeight="1">
      <c r="A213" s="81" t="s">
        <v>52</v>
      </c>
      <c r="B213" s="89">
        <v>28.0</v>
      </c>
      <c r="C213" s="89">
        <v>30.0</v>
      </c>
      <c r="D213" s="89">
        <v>32.0</v>
      </c>
      <c r="E213" s="89">
        <v>34.0</v>
      </c>
      <c r="F213" s="89">
        <v>36.0</v>
      </c>
      <c r="G213" s="89">
        <v>38.0</v>
      </c>
      <c r="H213" s="89">
        <v>40.0</v>
      </c>
      <c r="I213" s="89"/>
      <c r="J213" s="90"/>
      <c r="K213" s="114"/>
    </row>
    <row r="214" ht="19.5" customHeight="1">
      <c r="A214" s="81"/>
      <c r="B214" s="112" t="s">
        <v>4</v>
      </c>
      <c r="C214" s="112" t="s">
        <v>53</v>
      </c>
      <c r="D214" s="112" t="s">
        <v>54</v>
      </c>
      <c r="E214" s="112" t="s">
        <v>55</v>
      </c>
      <c r="F214" s="112" t="s">
        <v>56</v>
      </c>
      <c r="G214" s="112" t="s">
        <v>9</v>
      </c>
      <c r="H214" s="112" t="s">
        <v>10</v>
      </c>
      <c r="I214" s="112" t="s">
        <v>11</v>
      </c>
      <c r="J214" s="85" t="s">
        <v>12</v>
      </c>
      <c r="K214" s="119" t="s">
        <v>49</v>
      </c>
    </row>
    <row r="215" ht="19.5" customHeight="1">
      <c r="A215" s="106" t="s">
        <v>18</v>
      </c>
      <c r="B215" s="89">
        <f>0</f>
        <v>0</v>
      </c>
      <c r="C215" s="89">
        <f>0+2</f>
        <v>2</v>
      </c>
      <c r="D215" s="89">
        <f>0+1</f>
        <v>1</v>
      </c>
      <c r="E215" s="89">
        <f t="shared" ref="E215:J215" si="170">0</f>
        <v>0</v>
      </c>
      <c r="F215" s="89">
        <f t="shared" si="170"/>
        <v>0</v>
      </c>
      <c r="G215" s="89">
        <f t="shared" si="170"/>
        <v>0</v>
      </c>
      <c r="H215" s="89">
        <f t="shared" si="170"/>
        <v>0</v>
      </c>
      <c r="I215" s="89">
        <f t="shared" si="170"/>
        <v>0</v>
      </c>
      <c r="J215" s="89">
        <f t="shared" si="170"/>
        <v>0</v>
      </c>
      <c r="K215" s="114">
        <f>SUM(B215:J215)</f>
        <v>3</v>
      </c>
    </row>
    <row r="216" ht="19.5" customHeight="1">
      <c r="K216" s="124"/>
    </row>
    <row r="217" ht="19.5" customHeight="1">
      <c r="K217" s="124"/>
    </row>
    <row r="218" ht="19.5" customHeight="1">
      <c r="K218" s="124"/>
    </row>
    <row r="219" ht="19.5" customHeight="1">
      <c r="K219" s="124"/>
    </row>
    <row r="220" ht="19.5" customHeight="1">
      <c r="K220" s="124"/>
    </row>
    <row r="221" ht="19.5" customHeight="1">
      <c r="K221" s="124"/>
    </row>
    <row r="222" ht="19.5" customHeight="1">
      <c r="A222" s="159" t="s">
        <v>111</v>
      </c>
      <c r="B222" s="50"/>
      <c r="C222" s="50"/>
      <c r="D222" s="50"/>
      <c r="E222" s="50"/>
      <c r="F222" s="50"/>
      <c r="G222" s="50"/>
      <c r="H222" s="50"/>
      <c r="I222" s="50"/>
      <c r="J222" s="50"/>
      <c r="K222" s="51"/>
    </row>
    <row r="223" ht="19.5" customHeight="1">
      <c r="A223" s="81"/>
      <c r="B223" s="82" t="s">
        <v>140</v>
      </c>
      <c r="C223" s="50"/>
      <c r="D223" s="50"/>
      <c r="E223" s="50"/>
      <c r="F223" s="50"/>
      <c r="G223" s="50"/>
      <c r="H223" s="50"/>
      <c r="I223" s="50"/>
      <c r="J223" s="51"/>
      <c r="K223" s="114"/>
    </row>
    <row r="224" ht="19.5" customHeight="1">
      <c r="A224" s="81" t="s">
        <v>52</v>
      </c>
      <c r="B224" s="89">
        <v>28.0</v>
      </c>
      <c r="C224" s="89">
        <v>30.0</v>
      </c>
      <c r="D224" s="89">
        <v>32.0</v>
      </c>
      <c r="E224" s="89">
        <v>34.0</v>
      </c>
      <c r="F224" s="89">
        <v>36.0</v>
      </c>
      <c r="G224" s="89">
        <v>38.0</v>
      </c>
      <c r="H224" s="89">
        <v>40.0</v>
      </c>
      <c r="I224" s="89"/>
      <c r="J224" s="90"/>
      <c r="K224" s="114"/>
    </row>
    <row r="225" ht="19.5" customHeight="1">
      <c r="A225" s="81"/>
      <c r="B225" s="112" t="s">
        <v>4</v>
      </c>
      <c r="C225" s="112" t="s">
        <v>53</v>
      </c>
      <c r="D225" s="112" t="s">
        <v>54</v>
      </c>
      <c r="E225" s="112" t="s">
        <v>55</v>
      </c>
      <c r="F225" s="112" t="s">
        <v>56</v>
      </c>
      <c r="G225" s="112" t="s">
        <v>9</v>
      </c>
      <c r="H225" s="112" t="s">
        <v>10</v>
      </c>
      <c r="I225" s="112" t="s">
        <v>11</v>
      </c>
      <c r="J225" s="85" t="s">
        <v>12</v>
      </c>
      <c r="K225" s="119" t="s">
        <v>49</v>
      </c>
    </row>
    <row r="226" ht="19.5" customHeight="1">
      <c r="A226" s="106" t="s">
        <v>18</v>
      </c>
      <c r="B226" s="89">
        <f t="shared" ref="B226:D226" si="171">0</f>
        <v>0</v>
      </c>
      <c r="C226" s="89">
        <f t="shared" si="171"/>
        <v>0</v>
      </c>
      <c r="D226" s="89">
        <f t="shared" si="171"/>
        <v>0</v>
      </c>
      <c r="E226" s="89">
        <f>0+1+1-1</f>
        <v>1</v>
      </c>
      <c r="F226" s="89">
        <f>0+1</f>
        <v>1</v>
      </c>
      <c r="G226" s="89">
        <f t="shared" ref="G226:J226" si="172">0</f>
        <v>0</v>
      </c>
      <c r="H226" s="89">
        <f t="shared" si="172"/>
        <v>0</v>
      </c>
      <c r="I226" s="89">
        <f t="shared" si="172"/>
        <v>0</v>
      </c>
      <c r="J226" s="89">
        <f t="shared" si="172"/>
        <v>0</v>
      </c>
      <c r="K226" s="114">
        <f>SUM(B226:J226)</f>
        <v>2</v>
      </c>
    </row>
    <row r="227" ht="19.5" customHeight="1">
      <c r="K227" s="124"/>
    </row>
    <row r="228" ht="19.5" customHeight="1">
      <c r="A228" s="111" t="s">
        <v>141</v>
      </c>
      <c r="B228" s="50"/>
      <c r="C228" s="50"/>
      <c r="D228" s="50"/>
      <c r="E228" s="50"/>
      <c r="F228" s="50"/>
      <c r="G228" s="50"/>
      <c r="H228" s="50"/>
      <c r="I228" s="50"/>
      <c r="J228" s="50"/>
      <c r="K228" s="51"/>
    </row>
    <row r="229" ht="19.5" customHeight="1">
      <c r="A229" s="81"/>
      <c r="B229" s="82" t="s">
        <v>2</v>
      </c>
      <c r="C229" s="50"/>
      <c r="D229" s="50"/>
      <c r="E229" s="50"/>
      <c r="F229" s="50"/>
      <c r="G229" s="50"/>
      <c r="H229" s="50"/>
      <c r="I229" s="50"/>
      <c r="J229" s="51"/>
      <c r="K229" s="114"/>
    </row>
    <row r="230" ht="19.5" customHeight="1">
      <c r="A230" s="81"/>
      <c r="B230" s="112">
        <v>28.0</v>
      </c>
      <c r="C230" s="112">
        <v>30.0</v>
      </c>
      <c r="D230" s="112">
        <v>32.0</v>
      </c>
      <c r="E230" s="112">
        <v>34.0</v>
      </c>
      <c r="F230" s="112">
        <v>36.0</v>
      </c>
      <c r="G230" s="112">
        <v>38.0</v>
      </c>
      <c r="H230" s="112">
        <v>40.0</v>
      </c>
      <c r="I230" s="112">
        <v>42.0</v>
      </c>
      <c r="J230" s="112">
        <v>44.0</v>
      </c>
      <c r="K230" s="119" t="s">
        <v>49</v>
      </c>
    </row>
    <row r="231" ht="30.0" customHeight="1">
      <c r="A231" s="84" t="s">
        <v>142</v>
      </c>
      <c r="B231" s="89">
        <f>0</f>
        <v>0</v>
      </c>
      <c r="C231" s="89">
        <f t="shared" ref="C231:I231" si="173">1</f>
        <v>1</v>
      </c>
      <c r="D231" s="89">
        <f t="shared" si="173"/>
        <v>1</v>
      </c>
      <c r="E231" s="89">
        <f t="shared" si="173"/>
        <v>1</v>
      </c>
      <c r="F231" s="89">
        <f t="shared" si="173"/>
        <v>1</v>
      </c>
      <c r="G231" s="89">
        <f t="shared" si="173"/>
        <v>1</v>
      </c>
      <c r="H231" s="89">
        <f t="shared" si="173"/>
        <v>1</v>
      </c>
      <c r="I231" s="89">
        <f t="shared" si="173"/>
        <v>1</v>
      </c>
      <c r="J231" s="89">
        <f>0</f>
        <v>0</v>
      </c>
      <c r="K231" s="114">
        <f>SUM(B231:J231)</f>
        <v>7</v>
      </c>
    </row>
    <row r="232" ht="19.5" customHeight="1">
      <c r="A232" s="165"/>
      <c r="B232" s="137"/>
      <c r="C232" s="137"/>
      <c r="D232" s="137"/>
      <c r="E232" s="137"/>
      <c r="F232" s="137"/>
      <c r="G232" s="137"/>
      <c r="H232" s="137"/>
      <c r="I232" s="137"/>
      <c r="J232" s="137"/>
      <c r="K232" s="105">
        <v>7.0</v>
      </c>
    </row>
    <row r="233" ht="19.5" customHeight="1">
      <c r="A233" s="81"/>
      <c r="B233" s="166" t="s">
        <v>1</v>
      </c>
      <c r="C233" s="50"/>
      <c r="D233" s="50"/>
      <c r="E233" s="50"/>
      <c r="F233" s="50"/>
      <c r="G233" s="50"/>
      <c r="H233" s="50"/>
      <c r="I233" s="50"/>
      <c r="J233" s="51"/>
      <c r="K233" s="114"/>
    </row>
    <row r="234" ht="19.5" customHeight="1">
      <c r="A234" s="81"/>
      <c r="B234" s="167">
        <v>5.0</v>
      </c>
      <c r="C234" s="167">
        <v>7.0</v>
      </c>
      <c r="D234" s="167">
        <v>9.0</v>
      </c>
      <c r="E234" s="167">
        <v>11.0</v>
      </c>
      <c r="F234" s="167">
        <v>13.0</v>
      </c>
      <c r="G234" s="167">
        <v>15.0</v>
      </c>
      <c r="H234" s="167">
        <v>17.0</v>
      </c>
      <c r="I234" s="167">
        <v>19.0</v>
      </c>
      <c r="J234" s="112"/>
      <c r="K234" s="119" t="s">
        <v>49</v>
      </c>
    </row>
    <row r="235" ht="19.5" customHeight="1">
      <c r="A235" s="84" t="s">
        <v>142</v>
      </c>
      <c r="B235" s="89"/>
      <c r="C235" s="89"/>
      <c r="D235" s="89"/>
      <c r="E235" s="89"/>
      <c r="F235" s="89"/>
      <c r="G235" s="89"/>
      <c r="H235" s="168">
        <v>1.0</v>
      </c>
      <c r="I235" s="89"/>
      <c r="J235" s="89"/>
      <c r="K235" s="114">
        <f>SUM(B235:J235)</f>
        <v>1</v>
      </c>
    </row>
    <row r="236" ht="19.5" customHeight="1">
      <c r="A236" s="165"/>
      <c r="B236" s="137"/>
      <c r="C236" s="137"/>
      <c r="D236" s="137"/>
      <c r="E236" s="137"/>
      <c r="F236" s="137"/>
      <c r="G236" s="137"/>
      <c r="H236" s="137"/>
      <c r="I236" s="137"/>
      <c r="J236" s="137"/>
      <c r="K236" s="105"/>
    </row>
    <row r="237" ht="19.5" customHeight="1">
      <c r="K237" s="124"/>
    </row>
    <row r="238" ht="19.5" customHeight="1">
      <c r="K238" s="124"/>
    </row>
    <row r="239" ht="19.5" customHeight="1">
      <c r="A239" s="169" t="s">
        <v>143</v>
      </c>
      <c r="B239" s="50"/>
      <c r="C239" s="50"/>
      <c r="D239" s="50"/>
      <c r="E239" s="50"/>
      <c r="F239" s="50"/>
      <c r="G239" s="50"/>
      <c r="H239" s="50"/>
      <c r="I239" s="50"/>
      <c r="J239" s="50"/>
      <c r="K239" s="51"/>
    </row>
    <row r="240" ht="19.5" customHeight="1">
      <c r="B240" s="112" t="s">
        <v>4</v>
      </c>
      <c r="C240" s="112" t="s">
        <v>53</v>
      </c>
      <c r="D240" s="112" t="s">
        <v>54</v>
      </c>
      <c r="E240" s="112" t="s">
        <v>55</v>
      </c>
      <c r="F240" s="112" t="s">
        <v>56</v>
      </c>
      <c r="G240" s="112" t="s">
        <v>9</v>
      </c>
      <c r="H240" s="112" t="s">
        <v>10</v>
      </c>
      <c r="I240" s="112" t="s">
        <v>11</v>
      </c>
      <c r="J240" s="85" t="s">
        <v>12</v>
      </c>
      <c r="K240" s="119" t="s">
        <v>49</v>
      </c>
    </row>
    <row r="241" ht="19.5" customHeight="1">
      <c r="B241" s="89">
        <f t="shared" ref="B241:D241" si="174">0</f>
        <v>0</v>
      </c>
      <c r="C241" s="89">
        <f t="shared" si="174"/>
        <v>0</v>
      </c>
      <c r="D241" s="89">
        <f t="shared" si="174"/>
        <v>0</v>
      </c>
      <c r="E241" s="89">
        <f>0+21-2+1+1-2+2-1-5+1-1+5-1</f>
        <v>19</v>
      </c>
      <c r="F241" s="89">
        <f t="shared" ref="F241:J241" si="175">0</f>
        <v>0</v>
      </c>
      <c r="G241" s="89">
        <f t="shared" si="175"/>
        <v>0</v>
      </c>
      <c r="H241" s="89">
        <f t="shared" si="175"/>
        <v>0</v>
      </c>
      <c r="I241" s="89">
        <f t="shared" si="175"/>
        <v>0</v>
      </c>
      <c r="J241" s="89">
        <f t="shared" si="175"/>
        <v>0</v>
      </c>
      <c r="K241" s="170">
        <f>SUM(B241:J241)</f>
        <v>19</v>
      </c>
    </row>
    <row r="242" ht="19.5" customHeight="1">
      <c r="K242" s="124"/>
    </row>
    <row r="243" ht="19.5" customHeight="1">
      <c r="K243" s="124"/>
    </row>
    <row r="244" ht="19.5" customHeight="1">
      <c r="K244" s="124"/>
    </row>
    <row r="245" ht="19.5" customHeight="1">
      <c r="K245" s="124"/>
    </row>
    <row r="246" ht="19.5" customHeight="1">
      <c r="K246" s="124"/>
    </row>
    <row r="247" ht="19.5" customHeight="1">
      <c r="K247" s="124"/>
    </row>
    <row r="248" ht="19.5" customHeight="1">
      <c r="K248" s="124"/>
    </row>
    <row r="249" ht="19.5" customHeight="1">
      <c r="K249" s="124"/>
    </row>
    <row r="250" ht="19.5" customHeight="1">
      <c r="K250" s="124"/>
    </row>
    <row r="251" ht="19.5" customHeight="1">
      <c r="K251" s="124"/>
    </row>
    <row r="252" ht="19.5" customHeight="1">
      <c r="K252" s="124"/>
    </row>
    <row r="253" ht="19.5" customHeight="1">
      <c r="K253" s="124"/>
    </row>
    <row r="254" ht="19.5" customHeight="1">
      <c r="K254" s="124"/>
    </row>
    <row r="255" ht="19.5" customHeight="1">
      <c r="K255" s="124"/>
    </row>
    <row r="256" ht="19.5" customHeight="1">
      <c r="K256" s="124"/>
    </row>
    <row r="257" ht="19.5" customHeight="1">
      <c r="K257" s="124"/>
    </row>
    <row r="258" ht="19.5" customHeight="1">
      <c r="K258" s="124"/>
    </row>
    <row r="259" ht="19.5" customHeight="1">
      <c r="K259" s="124"/>
    </row>
    <row r="260" ht="19.5" customHeight="1">
      <c r="K260" s="124"/>
    </row>
    <row r="261" ht="19.5" customHeight="1">
      <c r="K261" s="124"/>
    </row>
    <row r="262" ht="19.5" customHeight="1">
      <c r="K262" s="124"/>
    </row>
    <row r="263" ht="19.5" customHeight="1">
      <c r="K263" s="124"/>
    </row>
    <row r="264" ht="19.5" customHeight="1">
      <c r="K264" s="124"/>
    </row>
    <row r="265" ht="19.5" customHeight="1">
      <c r="K265" s="124"/>
    </row>
    <row r="266" ht="19.5" customHeight="1">
      <c r="K266" s="124"/>
    </row>
    <row r="267" ht="19.5" customHeight="1">
      <c r="K267" s="124"/>
    </row>
    <row r="268" ht="19.5" customHeight="1">
      <c r="K268" s="124"/>
    </row>
    <row r="269" ht="19.5" customHeight="1">
      <c r="K269" s="124"/>
    </row>
    <row r="270" ht="19.5" customHeight="1">
      <c r="K270" s="124"/>
    </row>
    <row r="271" ht="19.5" customHeight="1">
      <c r="K271" s="124"/>
    </row>
    <row r="272" ht="19.5" customHeight="1">
      <c r="K272" s="124"/>
    </row>
    <row r="273" ht="19.5" customHeight="1">
      <c r="K273" s="124"/>
    </row>
    <row r="274" ht="19.5" customHeight="1">
      <c r="K274" s="124"/>
    </row>
    <row r="275" ht="19.5" customHeight="1">
      <c r="K275" s="124"/>
    </row>
    <row r="276" ht="19.5" customHeight="1">
      <c r="K276" s="124"/>
    </row>
    <row r="277" ht="19.5" customHeight="1">
      <c r="K277" s="124"/>
    </row>
    <row r="278" ht="19.5" customHeight="1">
      <c r="K278" s="124"/>
    </row>
    <row r="279" ht="19.5" customHeight="1">
      <c r="K279" s="124"/>
    </row>
    <row r="280" ht="19.5" customHeight="1">
      <c r="K280" s="124"/>
    </row>
    <row r="281" ht="19.5" customHeight="1">
      <c r="K281" s="124"/>
    </row>
    <row r="282" ht="19.5" customHeight="1">
      <c r="K282" s="124"/>
    </row>
    <row r="283" ht="19.5" customHeight="1">
      <c r="K283" s="124"/>
    </row>
    <row r="284" ht="19.5" customHeight="1">
      <c r="K284" s="124"/>
    </row>
    <row r="285" ht="19.5" customHeight="1">
      <c r="K285" s="124"/>
    </row>
    <row r="286" ht="19.5" customHeight="1">
      <c r="K286" s="124"/>
    </row>
    <row r="287" ht="19.5" customHeight="1">
      <c r="K287" s="124"/>
    </row>
    <row r="288" ht="19.5" customHeight="1">
      <c r="K288" s="124"/>
    </row>
    <row r="289" ht="19.5" customHeight="1">
      <c r="K289" s="124"/>
    </row>
    <row r="290" ht="19.5" customHeight="1">
      <c r="K290" s="124"/>
    </row>
    <row r="291" ht="19.5" customHeight="1">
      <c r="K291" s="124"/>
    </row>
    <row r="292" ht="19.5" customHeight="1">
      <c r="K292" s="124"/>
    </row>
    <row r="293" ht="19.5" customHeight="1">
      <c r="K293" s="124"/>
    </row>
    <row r="294" ht="19.5" customHeight="1">
      <c r="K294" s="124"/>
    </row>
    <row r="295" ht="19.5" customHeight="1">
      <c r="K295" s="124"/>
    </row>
    <row r="296" ht="19.5" customHeight="1">
      <c r="K296" s="124"/>
    </row>
    <row r="297" ht="19.5" customHeight="1">
      <c r="K297" s="124"/>
    </row>
    <row r="298" ht="19.5" customHeight="1">
      <c r="K298" s="124"/>
    </row>
    <row r="299" ht="19.5" customHeight="1">
      <c r="K299" s="124"/>
    </row>
    <row r="300" ht="19.5" customHeight="1">
      <c r="K300" s="124"/>
    </row>
    <row r="301" ht="19.5" customHeight="1">
      <c r="K301" s="124"/>
      <c r="L301" s="125"/>
    </row>
    <row r="302" ht="19.5" customHeight="1">
      <c r="K302" s="124"/>
    </row>
    <row r="303" ht="19.5" customHeight="1">
      <c r="K303" s="124"/>
    </row>
    <row r="304" ht="19.5" customHeight="1">
      <c r="K304" s="124"/>
    </row>
    <row r="305" ht="19.5" customHeight="1">
      <c r="K305" s="124"/>
    </row>
    <row r="306" ht="19.5" customHeight="1">
      <c r="K306" s="124"/>
    </row>
    <row r="307" ht="19.5" customHeight="1">
      <c r="K307" s="124"/>
    </row>
    <row r="308" ht="19.5" customHeight="1">
      <c r="K308" s="124"/>
    </row>
    <row r="309" ht="19.5" customHeight="1">
      <c r="K309" s="124"/>
    </row>
    <row r="310" ht="19.5" customHeight="1">
      <c r="K310" s="124"/>
    </row>
    <row r="311" ht="19.5" customHeight="1">
      <c r="K311" s="124"/>
    </row>
    <row r="312" ht="19.5" customHeight="1">
      <c r="K312" s="124"/>
    </row>
    <row r="313" ht="19.5" customHeight="1">
      <c r="K313" s="124"/>
    </row>
    <row r="314" ht="19.5" customHeight="1">
      <c r="K314" s="124"/>
    </row>
    <row r="315" ht="19.5" customHeight="1">
      <c r="K315" s="124"/>
    </row>
    <row r="316" ht="19.5" customHeight="1">
      <c r="K316" s="124"/>
    </row>
    <row r="317" ht="19.5" customHeight="1">
      <c r="K317" s="124"/>
    </row>
    <row r="318" ht="19.5" customHeight="1">
      <c r="K318" s="124"/>
    </row>
    <row r="319" ht="19.5" customHeight="1">
      <c r="K319" s="124"/>
    </row>
    <row r="320" ht="19.5" customHeight="1">
      <c r="K320" s="124"/>
    </row>
    <row r="321" ht="19.5" customHeight="1">
      <c r="K321" s="124"/>
    </row>
    <row r="322" ht="19.5" customHeight="1">
      <c r="K322" s="124"/>
    </row>
    <row r="323" ht="19.5" customHeight="1">
      <c r="K323" s="124"/>
    </row>
    <row r="324" ht="19.5" customHeight="1">
      <c r="K324" s="124"/>
    </row>
    <row r="325" ht="19.5" customHeight="1">
      <c r="K325" s="124"/>
    </row>
    <row r="326" ht="19.5" customHeight="1">
      <c r="K326" s="124"/>
    </row>
    <row r="327" ht="19.5" customHeight="1">
      <c r="K327" s="124"/>
    </row>
    <row r="328" ht="19.5" customHeight="1">
      <c r="K328" s="124"/>
    </row>
    <row r="329" ht="19.5" customHeight="1">
      <c r="K329" s="124"/>
    </row>
    <row r="330" ht="19.5" customHeight="1">
      <c r="K330" s="124"/>
    </row>
    <row r="331" ht="19.5" customHeight="1">
      <c r="K331" s="124"/>
    </row>
    <row r="332" ht="19.5" customHeight="1">
      <c r="K332" s="124"/>
    </row>
    <row r="333" ht="19.5" customHeight="1">
      <c r="K333" s="124"/>
    </row>
    <row r="334" ht="19.5" customHeight="1">
      <c r="K334" s="124"/>
    </row>
    <row r="335" ht="19.5" customHeight="1">
      <c r="K335" s="124"/>
    </row>
    <row r="336" ht="19.5" customHeight="1">
      <c r="K336" s="124"/>
    </row>
    <row r="337" ht="19.5" customHeight="1">
      <c r="K337" s="124"/>
    </row>
    <row r="338" ht="19.5" customHeight="1">
      <c r="K338" s="124"/>
    </row>
    <row r="339" ht="19.5" customHeight="1">
      <c r="K339" s="124"/>
    </row>
    <row r="340" ht="19.5" customHeight="1">
      <c r="K340" s="124"/>
    </row>
    <row r="341" ht="19.5" customHeight="1">
      <c r="K341" s="124"/>
    </row>
    <row r="342" ht="19.5" customHeight="1">
      <c r="K342" s="124"/>
    </row>
    <row r="343" ht="19.5" customHeight="1">
      <c r="K343" s="124"/>
    </row>
    <row r="344" ht="19.5" customHeight="1">
      <c r="K344" s="124"/>
    </row>
    <row r="345" ht="19.5" customHeight="1">
      <c r="K345" s="124"/>
    </row>
    <row r="346" ht="19.5" customHeight="1">
      <c r="K346" s="124"/>
    </row>
    <row r="347" ht="19.5" customHeight="1">
      <c r="K347" s="124"/>
    </row>
    <row r="348" ht="19.5" customHeight="1">
      <c r="K348" s="124"/>
    </row>
    <row r="349" ht="19.5" customHeight="1">
      <c r="K349" s="124"/>
    </row>
    <row r="350" ht="19.5" customHeight="1">
      <c r="K350" s="124"/>
    </row>
    <row r="351" ht="19.5" customHeight="1">
      <c r="K351" s="124"/>
    </row>
    <row r="352" ht="19.5" customHeight="1">
      <c r="K352" s="124"/>
    </row>
    <row r="353" ht="19.5" customHeight="1">
      <c r="K353" s="124"/>
    </row>
    <row r="354" ht="19.5" customHeight="1">
      <c r="K354" s="124"/>
    </row>
    <row r="355" ht="19.5" customHeight="1">
      <c r="K355" s="124"/>
    </row>
    <row r="356" ht="19.5" customHeight="1">
      <c r="K356" s="124"/>
    </row>
    <row r="357" ht="19.5" customHeight="1">
      <c r="K357" s="124"/>
    </row>
    <row r="358" ht="19.5" customHeight="1">
      <c r="K358" s="124"/>
    </row>
    <row r="359" ht="19.5" customHeight="1">
      <c r="K359" s="124"/>
    </row>
    <row r="360" ht="19.5" customHeight="1">
      <c r="K360" s="124"/>
    </row>
    <row r="361" ht="19.5" customHeight="1">
      <c r="K361" s="124"/>
    </row>
    <row r="362" ht="19.5" customHeight="1">
      <c r="K362" s="124"/>
    </row>
    <row r="363" ht="19.5" customHeight="1">
      <c r="K363" s="124"/>
    </row>
    <row r="364" ht="19.5" customHeight="1">
      <c r="K364" s="124"/>
    </row>
    <row r="365" ht="19.5" customHeight="1">
      <c r="K365" s="124"/>
    </row>
    <row r="366" ht="19.5" customHeight="1">
      <c r="K366" s="124"/>
    </row>
    <row r="367" ht="19.5" customHeight="1">
      <c r="K367" s="124"/>
    </row>
    <row r="368" ht="19.5" customHeight="1">
      <c r="K368" s="124"/>
    </row>
    <row r="369" ht="19.5" customHeight="1">
      <c r="K369" s="124"/>
    </row>
    <row r="370" ht="19.5" customHeight="1">
      <c r="K370" s="124"/>
    </row>
    <row r="371" ht="19.5" customHeight="1">
      <c r="K371" s="124"/>
    </row>
    <row r="372" ht="19.5" customHeight="1">
      <c r="K372" s="124"/>
    </row>
    <row r="373" ht="19.5" customHeight="1">
      <c r="K373" s="124"/>
    </row>
    <row r="374" ht="19.5" customHeight="1">
      <c r="K374" s="124"/>
    </row>
    <row r="375" ht="19.5" customHeight="1">
      <c r="K375" s="124"/>
    </row>
    <row r="376" ht="19.5" customHeight="1">
      <c r="K376" s="124"/>
    </row>
    <row r="377" ht="19.5" customHeight="1">
      <c r="K377" s="124"/>
    </row>
    <row r="378" ht="19.5" customHeight="1">
      <c r="K378" s="124"/>
    </row>
    <row r="379" ht="19.5" customHeight="1">
      <c r="K379" s="124"/>
    </row>
    <row r="380" ht="19.5" customHeight="1">
      <c r="K380" s="124"/>
    </row>
    <row r="381" ht="19.5" customHeight="1">
      <c r="K381" s="124"/>
    </row>
    <row r="382" ht="19.5" customHeight="1">
      <c r="K382" s="124"/>
    </row>
    <row r="383" ht="19.5" customHeight="1">
      <c r="K383" s="124"/>
    </row>
    <row r="384" ht="19.5" customHeight="1">
      <c r="K384" s="124"/>
    </row>
    <row r="385" ht="19.5" customHeight="1">
      <c r="K385" s="124"/>
    </row>
    <row r="386" ht="19.5" customHeight="1">
      <c r="K386" s="124"/>
    </row>
    <row r="387" ht="19.5" customHeight="1">
      <c r="K387" s="124"/>
    </row>
    <row r="388" ht="19.5" customHeight="1">
      <c r="K388" s="124"/>
    </row>
    <row r="389" ht="19.5" customHeight="1">
      <c r="K389" s="124"/>
    </row>
    <row r="390" ht="19.5" customHeight="1">
      <c r="K390" s="124"/>
    </row>
    <row r="391" ht="19.5" customHeight="1">
      <c r="K391" s="124"/>
    </row>
    <row r="392" ht="19.5" customHeight="1">
      <c r="K392" s="124"/>
    </row>
    <row r="393" ht="19.5" customHeight="1">
      <c r="K393" s="124"/>
    </row>
    <row r="394" ht="19.5" customHeight="1">
      <c r="K394" s="124"/>
    </row>
    <row r="395" ht="19.5" customHeight="1">
      <c r="K395" s="124"/>
    </row>
    <row r="396" ht="19.5" customHeight="1">
      <c r="K396" s="124"/>
    </row>
    <row r="397" ht="19.5" customHeight="1">
      <c r="K397" s="124"/>
    </row>
    <row r="398" ht="19.5" customHeight="1">
      <c r="K398" s="124"/>
    </row>
    <row r="399" ht="19.5" customHeight="1">
      <c r="K399" s="124"/>
    </row>
    <row r="400" ht="19.5" customHeight="1">
      <c r="K400" s="124"/>
    </row>
    <row r="401" ht="19.5" customHeight="1">
      <c r="K401" s="124"/>
    </row>
    <row r="402" ht="19.5" customHeight="1">
      <c r="K402" s="124"/>
    </row>
    <row r="403" ht="19.5" customHeight="1">
      <c r="K403" s="124"/>
    </row>
    <row r="404" ht="19.5" customHeight="1">
      <c r="K404" s="124"/>
    </row>
    <row r="405" ht="19.5" customHeight="1">
      <c r="K405" s="124"/>
    </row>
    <row r="406" ht="19.5" customHeight="1">
      <c r="K406" s="124"/>
    </row>
    <row r="407" ht="19.5" customHeight="1">
      <c r="K407" s="124"/>
    </row>
    <row r="408" ht="19.5" customHeight="1">
      <c r="K408" s="124"/>
    </row>
    <row r="409" ht="19.5" customHeight="1">
      <c r="K409" s="124"/>
    </row>
    <row r="410" ht="19.5" customHeight="1">
      <c r="K410" s="124"/>
    </row>
    <row r="411" ht="19.5" customHeight="1">
      <c r="K411" s="124"/>
    </row>
    <row r="412" ht="19.5" customHeight="1">
      <c r="K412" s="124"/>
    </row>
    <row r="413" ht="19.5" customHeight="1">
      <c r="K413" s="124"/>
    </row>
    <row r="414" ht="19.5" customHeight="1">
      <c r="K414" s="124"/>
    </row>
    <row r="415" ht="19.5" customHeight="1">
      <c r="K415" s="124"/>
    </row>
    <row r="416" ht="19.5" customHeight="1">
      <c r="K416" s="124"/>
    </row>
    <row r="417" ht="19.5" customHeight="1">
      <c r="K417" s="124"/>
    </row>
    <row r="418" ht="19.5" customHeight="1">
      <c r="K418" s="124"/>
    </row>
    <row r="419" ht="19.5" customHeight="1">
      <c r="K419" s="124"/>
    </row>
    <row r="420" ht="19.5" customHeight="1">
      <c r="K420" s="124"/>
    </row>
    <row r="421" ht="19.5" customHeight="1">
      <c r="K421" s="124"/>
    </row>
    <row r="422" ht="19.5" customHeight="1">
      <c r="K422" s="124"/>
    </row>
    <row r="423" ht="19.5" customHeight="1">
      <c r="K423" s="124"/>
    </row>
    <row r="424" ht="19.5" customHeight="1">
      <c r="K424" s="124"/>
    </row>
    <row r="425" ht="19.5" customHeight="1">
      <c r="K425" s="124"/>
    </row>
    <row r="426" ht="19.5" customHeight="1">
      <c r="K426" s="124"/>
    </row>
    <row r="427" ht="19.5" customHeight="1">
      <c r="K427" s="124"/>
    </row>
    <row r="428" ht="19.5" customHeight="1">
      <c r="K428" s="124"/>
    </row>
    <row r="429" ht="19.5" customHeight="1">
      <c r="K429" s="124"/>
    </row>
    <row r="430" ht="19.5" customHeight="1">
      <c r="K430" s="124"/>
    </row>
    <row r="431" ht="19.5" customHeight="1">
      <c r="K431" s="124"/>
    </row>
    <row r="432" ht="19.5" customHeight="1">
      <c r="K432" s="124"/>
    </row>
    <row r="433" ht="19.5" customHeight="1">
      <c r="K433" s="124"/>
    </row>
    <row r="434" ht="19.5" customHeight="1">
      <c r="K434" s="124"/>
    </row>
    <row r="435" ht="19.5" customHeight="1">
      <c r="K435" s="124"/>
    </row>
    <row r="436" ht="19.5" customHeight="1">
      <c r="K436" s="124"/>
    </row>
    <row r="437" ht="19.5" customHeight="1">
      <c r="K437" s="124"/>
    </row>
    <row r="438" ht="19.5" customHeight="1">
      <c r="K438" s="124"/>
    </row>
    <row r="439" ht="19.5" customHeight="1">
      <c r="K439" s="124"/>
    </row>
    <row r="440" ht="19.5" customHeight="1">
      <c r="K440" s="124"/>
    </row>
    <row r="441" ht="19.5" customHeight="1">
      <c r="K441" s="124"/>
    </row>
    <row r="442" ht="19.5" customHeight="1">
      <c r="K442" s="124"/>
    </row>
    <row r="443" ht="19.5" customHeight="1">
      <c r="K443" s="124"/>
    </row>
    <row r="444" ht="19.5" customHeight="1">
      <c r="K444" s="124"/>
    </row>
    <row r="445" ht="19.5" customHeight="1">
      <c r="K445" s="124"/>
    </row>
    <row r="446" ht="19.5" customHeight="1">
      <c r="K446" s="124"/>
    </row>
    <row r="447" ht="19.5" customHeight="1">
      <c r="K447" s="124"/>
    </row>
    <row r="448" ht="19.5" customHeight="1">
      <c r="K448" s="124"/>
    </row>
    <row r="449" ht="19.5" customHeight="1">
      <c r="K449" s="124"/>
    </row>
    <row r="450" ht="19.5" customHeight="1">
      <c r="K450" s="124"/>
    </row>
    <row r="451" ht="19.5" customHeight="1">
      <c r="K451" s="124"/>
    </row>
    <row r="452" ht="19.5" customHeight="1">
      <c r="K452" s="124"/>
    </row>
    <row r="453" ht="19.5" customHeight="1">
      <c r="K453" s="124"/>
    </row>
    <row r="454" ht="19.5" customHeight="1">
      <c r="K454" s="124"/>
    </row>
    <row r="455" ht="19.5" customHeight="1">
      <c r="K455" s="124"/>
    </row>
    <row r="456" ht="19.5" customHeight="1">
      <c r="K456" s="124"/>
    </row>
    <row r="457" ht="19.5" customHeight="1">
      <c r="K457" s="124"/>
    </row>
    <row r="458" ht="19.5" customHeight="1">
      <c r="K458" s="124"/>
    </row>
    <row r="459" ht="19.5" customHeight="1">
      <c r="K459" s="124"/>
    </row>
    <row r="460" ht="19.5" customHeight="1">
      <c r="K460" s="124"/>
    </row>
    <row r="461" ht="19.5" customHeight="1">
      <c r="K461" s="124"/>
    </row>
    <row r="462" ht="19.5" customHeight="1">
      <c r="K462" s="124"/>
    </row>
    <row r="463" ht="19.5" customHeight="1">
      <c r="K463" s="124"/>
    </row>
    <row r="464" ht="19.5" customHeight="1">
      <c r="K464" s="124"/>
    </row>
    <row r="465" ht="19.5" customHeight="1">
      <c r="K465" s="124"/>
    </row>
    <row r="466" ht="19.5" customHeight="1">
      <c r="K466" s="124"/>
    </row>
    <row r="467" ht="19.5" customHeight="1">
      <c r="K467" s="124"/>
    </row>
    <row r="468" ht="19.5" customHeight="1">
      <c r="K468" s="124"/>
    </row>
    <row r="469" ht="19.5" customHeight="1">
      <c r="K469" s="124"/>
    </row>
    <row r="470" ht="19.5" customHeight="1">
      <c r="K470" s="124"/>
    </row>
    <row r="471" ht="19.5" customHeight="1">
      <c r="K471" s="124"/>
    </row>
    <row r="472" ht="19.5" customHeight="1">
      <c r="K472" s="124"/>
    </row>
    <row r="473" ht="19.5" customHeight="1">
      <c r="K473" s="124"/>
    </row>
    <row r="474" ht="19.5" customHeight="1">
      <c r="K474" s="124"/>
    </row>
    <row r="475" ht="19.5" customHeight="1">
      <c r="K475" s="124"/>
    </row>
    <row r="476" ht="19.5" customHeight="1">
      <c r="K476" s="124"/>
    </row>
    <row r="477" ht="19.5" customHeight="1">
      <c r="K477" s="124"/>
    </row>
    <row r="478" ht="19.5" customHeight="1">
      <c r="K478" s="124"/>
    </row>
    <row r="479" ht="19.5" customHeight="1">
      <c r="K479" s="124"/>
    </row>
    <row r="480" ht="19.5" customHeight="1">
      <c r="K480" s="124"/>
    </row>
    <row r="481" ht="19.5" customHeight="1">
      <c r="K481" s="124"/>
    </row>
    <row r="482" ht="19.5" customHeight="1">
      <c r="K482" s="124"/>
    </row>
    <row r="483" ht="19.5" customHeight="1">
      <c r="K483" s="124"/>
    </row>
    <row r="484" ht="19.5" customHeight="1">
      <c r="K484" s="124"/>
    </row>
    <row r="485" ht="19.5" customHeight="1">
      <c r="K485" s="124"/>
    </row>
    <row r="486" ht="19.5" customHeight="1">
      <c r="K486" s="124"/>
    </row>
    <row r="487" ht="19.5" customHeight="1">
      <c r="K487" s="124"/>
    </row>
    <row r="488" ht="19.5" customHeight="1">
      <c r="K488" s="124"/>
    </row>
    <row r="489" ht="19.5" customHeight="1">
      <c r="K489" s="124"/>
    </row>
    <row r="490" ht="19.5" customHeight="1">
      <c r="K490" s="124"/>
    </row>
    <row r="491" ht="19.5" customHeight="1">
      <c r="K491" s="124"/>
    </row>
    <row r="492" ht="19.5" customHeight="1">
      <c r="K492" s="124"/>
    </row>
    <row r="493" ht="19.5" customHeight="1">
      <c r="K493" s="124"/>
    </row>
    <row r="494" ht="19.5" customHeight="1">
      <c r="K494" s="124"/>
    </row>
    <row r="495" ht="19.5" customHeight="1">
      <c r="K495" s="124"/>
    </row>
    <row r="496" ht="19.5" customHeight="1">
      <c r="K496" s="124"/>
    </row>
    <row r="497" ht="19.5" customHeight="1">
      <c r="K497" s="124"/>
    </row>
    <row r="498" ht="19.5" customHeight="1">
      <c r="K498" s="124"/>
    </row>
    <row r="499" ht="19.5" customHeight="1">
      <c r="K499" s="124"/>
    </row>
    <row r="500" ht="19.5" customHeight="1">
      <c r="K500" s="124"/>
    </row>
    <row r="501" ht="19.5" customHeight="1">
      <c r="K501" s="124"/>
    </row>
    <row r="502" ht="19.5" customHeight="1">
      <c r="K502" s="124"/>
    </row>
    <row r="503" ht="19.5" customHeight="1">
      <c r="K503" s="124"/>
    </row>
    <row r="504" ht="19.5" customHeight="1">
      <c r="K504" s="124"/>
    </row>
    <row r="505" ht="19.5" customHeight="1">
      <c r="K505" s="124"/>
    </row>
    <row r="506" ht="19.5" customHeight="1">
      <c r="K506" s="124"/>
    </row>
    <row r="507" ht="19.5" customHeight="1">
      <c r="K507" s="124"/>
    </row>
    <row r="508" ht="19.5" customHeight="1">
      <c r="K508" s="124"/>
    </row>
    <row r="509" ht="19.5" customHeight="1">
      <c r="K509" s="124"/>
    </row>
    <row r="510" ht="19.5" customHeight="1">
      <c r="K510" s="124"/>
    </row>
    <row r="511" ht="19.5" customHeight="1">
      <c r="K511" s="124"/>
    </row>
    <row r="512" ht="19.5" customHeight="1">
      <c r="K512" s="124"/>
    </row>
    <row r="513" ht="19.5" customHeight="1">
      <c r="K513" s="124"/>
    </row>
    <row r="514" ht="19.5" customHeight="1">
      <c r="K514" s="124"/>
    </row>
    <row r="515" ht="19.5" customHeight="1">
      <c r="K515" s="124"/>
    </row>
    <row r="516" ht="19.5" customHeight="1">
      <c r="K516" s="124"/>
    </row>
    <row r="517" ht="19.5" customHeight="1">
      <c r="K517" s="124"/>
    </row>
    <row r="518" ht="19.5" customHeight="1">
      <c r="K518" s="124"/>
    </row>
    <row r="519" ht="19.5" customHeight="1">
      <c r="K519" s="124"/>
    </row>
    <row r="520" ht="19.5" customHeight="1">
      <c r="K520" s="124"/>
    </row>
    <row r="521" ht="19.5" customHeight="1">
      <c r="K521" s="124"/>
    </row>
    <row r="522" ht="19.5" customHeight="1">
      <c r="K522" s="124"/>
    </row>
    <row r="523" ht="19.5" customHeight="1">
      <c r="K523" s="124"/>
    </row>
    <row r="524" ht="19.5" customHeight="1">
      <c r="K524" s="124"/>
    </row>
    <row r="525" ht="19.5" customHeight="1">
      <c r="K525" s="124"/>
    </row>
    <row r="526" ht="19.5" customHeight="1">
      <c r="K526" s="124"/>
    </row>
    <row r="527" ht="19.5" customHeight="1">
      <c r="K527" s="124"/>
    </row>
    <row r="528" ht="19.5" customHeight="1">
      <c r="K528" s="124"/>
    </row>
    <row r="529" ht="19.5" customHeight="1">
      <c r="K529" s="124"/>
    </row>
    <row r="530" ht="19.5" customHeight="1">
      <c r="K530" s="124"/>
    </row>
    <row r="531" ht="19.5" customHeight="1">
      <c r="K531" s="124"/>
    </row>
    <row r="532" ht="19.5" customHeight="1">
      <c r="K532" s="124"/>
    </row>
    <row r="533" ht="19.5" customHeight="1">
      <c r="K533" s="124"/>
    </row>
    <row r="534" ht="19.5" customHeight="1">
      <c r="K534" s="124"/>
    </row>
    <row r="535" ht="19.5" customHeight="1">
      <c r="K535" s="124"/>
    </row>
    <row r="536" ht="19.5" customHeight="1">
      <c r="K536" s="124"/>
    </row>
    <row r="537" ht="19.5" customHeight="1">
      <c r="K537" s="124"/>
    </row>
    <row r="538" ht="19.5" customHeight="1">
      <c r="K538" s="124"/>
    </row>
    <row r="539" ht="19.5" customHeight="1">
      <c r="K539" s="124"/>
    </row>
    <row r="540" ht="19.5" customHeight="1">
      <c r="K540" s="124"/>
    </row>
    <row r="541" ht="19.5" customHeight="1">
      <c r="K541" s="124"/>
    </row>
    <row r="542" ht="19.5" customHeight="1">
      <c r="K542" s="124"/>
    </row>
    <row r="543" ht="19.5" customHeight="1">
      <c r="K543" s="124"/>
    </row>
    <row r="544" ht="19.5" customHeight="1">
      <c r="K544" s="124"/>
    </row>
    <row r="545" ht="19.5" customHeight="1">
      <c r="K545" s="124"/>
    </row>
    <row r="546" ht="19.5" customHeight="1">
      <c r="K546" s="124"/>
    </row>
    <row r="547" ht="19.5" customHeight="1">
      <c r="K547" s="124"/>
    </row>
    <row r="548" ht="19.5" customHeight="1">
      <c r="K548" s="124"/>
    </row>
    <row r="549" ht="19.5" customHeight="1">
      <c r="K549" s="124"/>
    </row>
    <row r="550" ht="19.5" customHeight="1">
      <c r="K550" s="124"/>
    </row>
    <row r="551" ht="19.5" customHeight="1">
      <c r="K551" s="124"/>
    </row>
    <row r="552" ht="19.5" customHeight="1">
      <c r="K552" s="124"/>
    </row>
    <row r="553" ht="19.5" customHeight="1">
      <c r="K553" s="124"/>
    </row>
    <row r="554" ht="19.5" customHeight="1">
      <c r="K554" s="124"/>
    </row>
    <row r="555" ht="19.5" customHeight="1">
      <c r="K555" s="124"/>
    </row>
    <row r="556" ht="19.5" customHeight="1">
      <c r="K556" s="124"/>
    </row>
    <row r="557" ht="19.5" customHeight="1">
      <c r="K557" s="124"/>
    </row>
    <row r="558" ht="19.5" customHeight="1">
      <c r="K558" s="124"/>
    </row>
    <row r="559" ht="19.5" customHeight="1">
      <c r="K559" s="124"/>
    </row>
    <row r="560" ht="19.5" customHeight="1">
      <c r="K560" s="124"/>
    </row>
    <row r="561" ht="19.5" customHeight="1">
      <c r="K561" s="124"/>
    </row>
    <row r="562" ht="19.5" customHeight="1">
      <c r="K562" s="124"/>
    </row>
    <row r="563" ht="19.5" customHeight="1">
      <c r="K563" s="124"/>
    </row>
    <row r="564" ht="19.5" customHeight="1">
      <c r="K564" s="124"/>
    </row>
    <row r="565" ht="19.5" customHeight="1">
      <c r="K565" s="124"/>
    </row>
    <row r="566" ht="19.5" customHeight="1">
      <c r="K566" s="124"/>
    </row>
    <row r="567" ht="19.5" customHeight="1">
      <c r="K567" s="124"/>
    </row>
    <row r="568" ht="19.5" customHeight="1">
      <c r="K568" s="124"/>
    </row>
    <row r="569" ht="19.5" customHeight="1">
      <c r="K569" s="124"/>
    </row>
    <row r="570" ht="19.5" customHeight="1">
      <c r="K570" s="124"/>
    </row>
    <row r="571" ht="19.5" customHeight="1">
      <c r="K571" s="124"/>
    </row>
    <row r="572" ht="19.5" customHeight="1">
      <c r="K572" s="124"/>
    </row>
    <row r="573" ht="19.5" customHeight="1">
      <c r="K573" s="124"/>
    </row>
    <row r="574" ht="19.5" customHeight="1">
      <c r="K574" s="124"/>
    </row>
    <row r="575" ht="19.5" customHeight="1">
      <c r="K575" s="124"/>
    </row>
    <row r="576" ht="19.5" customHeight="1">
      <c r="K576" s="124"/>
    </row>
    <row r="577" ht="19.5" customHeight="1">
      <c r="K577" s="124"/>
    </row>
    <row r="578" ht="19.5" customHeight="1">
      <c r="K578" s="124"/>
    </row>
    <row r="579" ht="19.5" customHeight="1">
      <c r="K579" s="124"/>
    </row>
    <row r="580" ht="19.5" customHeight="1">
      <c r="K580" s="124"/>
    </row>
    <row r="581" ht="19.5" customHeight="1">
      <c r="K581" s="124"/>
    </row>
    <row r="582" ht="19.5" customHeight="1">
      <c r="K582" s="124"/>
    </row>
    <row r="583" ht="19.5" customHeight="1">
      <c r="K583" s="124"/>
    </row>
    <row r="584" ht="19.5" customHeight="1">
      <c r="K584" s="124"/>
    </row>
    <row r="585" ht="19.5" customHeight="1">
      <c r="K585" s="124"/>
    </row>
    <row r="586" ht="19.5" customHeight="1">
      <c r="K586" s="124"/>
    </row>
    <row r="587" ht="19.5" customHeight="1">
      <c r="K587" s="124"/>
    </row>
    <row r="588" ht="19.5" customHeight="1">
      <c r="K588" s="124"/>
    </row>
    <row r="589" ht="19.5" customHeight="1">
      <c r="K589" s="124"/>
    </row>
    <row r="590" ht="19.5" customHeight="1">
      <c r="K590" s="124"/>
    </row>
    <row r="591" ht="19.5" customHeight="1">
      <c r="K591" s="124"/>
    </row>
    <row r="592" ht="19.5" customHeight="1">
      <c r="K592" s="124"/>
    </row>
    <row r="593" ht="19.5" customHeight="1">
      <c r="K593" s="124"/>
    </row>
    <row r="594" ht="19.5" customHeight="1">
      <c r="K594" s="124"/>
    </row>
    <row r="595" ht="19.5" customHeight="1">
      <c r="K595" s="124"/>
    </row>
    <row r="596" ht="19.5" customHeight="1">
      <c r="K596" s="124"/>
    </row>
    <row r="597" ht="19.5" customHeight="1">
      <c r="K597" s="124"/>
    </row>
    <row r="598" ht="19.5" customHeight="1">
      <c r="K598" s="124"/>
    </row>
    <row r="599" ht="19.5" customHeight="1">
      <c r="K599" s="124"/>
    </row>
    <row r="600" ht="19.5" customHeight="1">
      <c r="K600" s="124"/>
    </row>
    <row r="601" ht="19.5" customHeight="1">
      <c r="K601" s="124"/>
    </row>
    <row r="602" ht="19.5" customHeight="1">
      <c r="K602" s="124"/>
    </row>
    <row r="603" ht="19.5" customHeight="1">
      <c r="K603" s="124"/>
    </row>
    <row r="604" ht="19.5" customHeight="1">
      <c r="K604" s="124"/>
    </row>
    <row r="605" ht="19.5" customHeight="1">
      <c r="K605" s="124"/>
    </row>
    <row r="606" ht="19.5" customHeight="1">
      <c r="K606" s="124"/>
    </row>
    <row r="607" ht="19.5" customHeight="1">
      <c r="K607" s="124"/>
    </row>
    <row r="608" ht="19.5" customHeight="1">
      <c r="K608" s="124"/>
    </row>
    <row r="609" ht="19.5" customHeight="1">
      <c r="K609" s="124"/>
    </row>
    <row r="610" ht="19.5" customHeight="1">
      <c r="K610" s="124"/>
    </row>
    <row r="611" ht="19.5" customHeight="1">
      <c r="K611" s="124"/>
    </row>
    <row r="612" ht="19.5" customHeight="1">
      <c r="K612" s="124"/>
    </row>
    <row r="613" ht="19.5" customHeight="1">
      <c r="K613" s="124"/>
    </row>
    <row r="614" ht="19.5" customHeight="1">
      <c r="K614" s="124"/>
    </row>
    <row r="615" ht="19.5" customHeight="1">
      <c r="K615" s="124"/>
    </row>
    <row r="616" ht="19.5" customHeight="1">
      <c r="K616" s="124"/>
    </row>
    <row r="617" ht="19.5" customHeight="1">
      <c r="K617" s="124"/>
    </row>
    <row r="618" ht="19.5" customHeight="1">
      <c r="K618" s="124"/>
    </row>
    <row r="619" ht="19.5" customHeight="1">
      <c r="K619" s="124"/>
    </row>
    <row r="620" ht="19.5" customHeight="1">
      <c r="K620" s="124"/>
    </row>
    <row r="621" ht="19.5" customHeight="1">
      <c r="K621" s="124"/>
    </row>
    <row r="622" ht="19.5" customHeight="1">
      <c r="K622" s="124"/>
    </row>
    <row r="623" ht="19.5" customHeight="1">
      <c r="K623" s="124"/>
    </row>
    <row r="624" ht="19.5" customHeight="1">
      <c r="K624" s="124"/>
    </row>
    <row r="625" ht="19.5" customHeight="1">
      <c r="K625" s="124"/>
    </row>
    <row r="626" ht="19.5" customHeight="1">
      <c r="K626" s="124"/>
    </row>
    <row r="627" ht="19.5" customHeight="1">
      <c r="K627" s="124"/>
    </row>
    <row r="628" ht="19.5" customHeight="1">
      <c r="K628" s="124"/>
    </row>
    <row r="629" ht="19.5" customHeight="1">
      <c r="K629" s="124"/>
    </row>
    <row r="630" ht="19.5" customHeight="1">
      <c r="K630" s="124"/>
    </row>
    <row r="631" ht="19.5" customHeight="1">
      <c r="K631" s="124"/>
    </row>
    <row r="632" ht="19.5" customHeight="1">
      <c r="K632" s="124"/>
    </row>
    <row r="633" ht="19.5" customHeight="1">
      <c r="K633" s="124"/>
    </row>
    <row r="634" ht="19.5" customHeight="1">
      <c r="K634" s="124"/>
    </row>
    <row r="635" ht="19.5" customHeight="1">
      <c r="K635" s="124"/>
    </row>
    <row r="636" ht="19.5" customHeight="1">
      <c r="K636" s="124"/>
    </row>
    <row r="637" ht="19.5" customHeight="1">
      <c r="K637" s="124"/>
    </row>
    <row r="638" ht="19.5" customHeight="1">
      <c r="K638" s="124"/>
    </row>
    <row r="639" ht="19.5" customHeight="1">
      <c r="K639" s="124"/>
    </row>
    <row r="640" ht="19.5" customHeight="1">
      <c r="K640" s="124"/>
    </row>
    <row r="641" ht="19.5" customHeight="1">
      <c r="K641" s="124"/>
    </row>
    <row r="642" ht="19.5" customHeight="1">
      <c r="K642" s="124"/>
    </row>
    <row r="643" ht="19.5" customHeight="1">
      <c r="K643" s="124"/>
    </row>
    <row r="644" ht="19.5" customHeight="1">
      <c r="K644" s="124"/>
    </row>
    <row r="645" ht="19.5" customHeight="1">
      <c r="K645" s="124"/>
    </row>
    <row r="646" ht="19.5" customHeight="1">
      <c r="K646" s="124"/>
    </row>
    <row r="647" ht="19.5" customHeight="1">
      <c r="K647" s="124"/>
    </row>
    <row r="648" ht="19.5" customHeight="1">
      <c r="K648" s="124"/>
    </row>
    <row r="649" ht="19.5" customHeight="1">
      <c r="K649" s="124"/>
    </row>
    <row r="650" ht="19.5" customHeight="1">
      <c r="K650" s="124"/>
    </row>
    <row r="651" ht="19.5" customHeight="1">
      <c r="K651" s="124"/>
    </row>
    <row r="652" ht="19.5" customHeight="1">
      <c r="K652" s="124"/>
    </row>
    <row r="653" ht="19.5" customHeight="1">
      <c r="K653" s="124"/>
    </row>
    <row r="654" ht="19.5" customHeight="1">
      <c r="K654" s="124"/>
    </row>
    <row r="655" ht="19.5" customHeight="1">
      <c r="K655" s="124"/>
    </row>
    <row r="656" ht="19.5" customHeight="1">
      <c r="K656" s="124"/>
    </row>
    <row r="657" ht="19.5" customHeight="1">
      <c r="K657" s="124"/>
    </row>
    <row r="658" ht="19.5" customHeight="1">
      <c r="K658" s="124"/>
    </row>
    <row r="659" ht="19.5" customHeight="1">
      <c r="K659" s="124"/>
    </row>
    <row r="660" ht="19.5" customHeight="1">
      <c r="K660" s="124"/>
    </row>
    <row r="661" ht="19.5" customHeight="1">
      <c r="K661" s="124"/>
    </row>
    <row r="662" ht="19.5" customHeight="1">
      <c r="K662" s="124"/>
    </row>
    <row r="663" ht="19.5" customHeight="1">
      <c r="K663" s="124"/>
    </row>
    <row r="664" ht="19.5" customHeight="1">
      <c r="K664" s="124"/>
    </row>
    <row r="665" ht="19.5" customHeight="1">
      <c r="K665" s="124"/>
    </row>
    <row r="666" ht="19.5" customHeight="1">
      <c r="K666" s="124"/>
    </row>
    <row r="667" ht="19.5" customHeight="1">
      <c r="K667" s="124"/>
    </row>
    <row r="668" ht="19.5" customHeight="1">
      <c r="K668" s="124"/>
    </row>
    <row r="669" ht="19.5" customHeight="1">
      <c r="K669" s="124"/>
    </row>
    <row r="670" ht="19.5" customHeight="1">
      <c r="K670" s="124"/>
    </row>
    <row r="671" ht="19.5" customHeight="1">
      <c r="K671" s="124"/>
    </row>
    <row r="672" ht="19.5" customHeight="1">
      <c r="K672" s="124"/>
    </row>
    <row r="673" ht="19.5" customHeight="1">
      <c r="K673" s="124"/>
    </row>
    <row r="674" ht="19.5" customHeight="1">
      <c r="K674" s="124"/>
    </row>
    <row r="675" ht="19.5" customHeight="1">
      <c r="K675" s="124"/>
    </row>
    <row r="676" ht="19.5" customHeight="1">
      <c r="K676" s="124"/>
    </row>
    <row r="677" ht="19.5" customHeight="1">
      <c r="K677" s="124"/>
    </row>
    <row r="678" ht="19.5" customHeight="1">
      <c r="K678" s="124"/>
    </row>
    <row r="679" ht="19.5" customHeight="1">
      <c r="K679" s="124"/>
    </row>
    <row r="680" ht="19.5" customHeight="1">
      <c r="K680" s="124"/>
    </row>
    <row r="681" ht="19.5" customHeight="1">
      <c r="K681" s="124"/>
    </row>
    <row r="682" ht="19.5" customHeight="1">
      <c r="K682" s="124"/>
    </row>
    <row r="683" ht="19.5" customHeight="1">
      <c r="K683" s="124"/>
    </row>
    <row r="684" ht="19.5" customHeight="1">
      <c r="K684" s="124"/>
    </row>
    <row r="685" ht="19.5" customHeight="1">
      <c r="K685" s="124"/>
    </row>
    <row r="686" ht="19.5" customHeight="1">
      <c r="K686" s="124"/>
    </row>
    <row r="687" ht="19.5" customHeight="1">
      <c r="K687" s="124"/>
    </row>
    <row r="688" ht="19.5" customHeight="1">
      <c r="K688" s="124"/>
    </row>
    <row r="689" ht="19.5" customHeight="1">
      <c r="K689" s="124"/>
    </row>
    <row r="690" ht="19.5" customHeight="1">
      <c r="K690" s="124"/>
    </row>
    <row r="691" ht="19.5" customHeight="1">
      <c r="K691" s="124"/>
    </row>
    <row r="692" ht="19.5" customHeight="1">
      <c r="K692" s="124"/>
    </row>
    <row r="693" ht="19.5" customHeight="1">
      <c r="K693" s="124"/>
    </row>
    <row r="694" ht="19.5" customHeight="1">
      <c r="K694" s="124"/>
    </row>
    <row r="695" ht="19.5" customHeight="1">
      <c r="K695" s="124"/>
    </row>
    <row r="696" ht="19.5" customHeight="1">
      <c r="K696" s="124"/>
    </row>
    <row r="697" ht="19.5" customHeight="1">
      <c r="K697" s="124"/>
    </row>
    <row r="698" ht="19.5" customHeight="1">
      <c r="K698" s="124"/>
    </row>
    <row r="699" ht="19.5" customHeight="1">
      <c r="K699" s="124"/>
    </row>
    <row r="700" ht="19.5" customHeight="1">
      <c r="K700" s="124"/>
    </row>
    <row r="701" ht="19.5" customHeight="1">
      <c r="K701" s="124"/>
    </row>
    <row r="702" ht="19.5" customHeight="1">
      <c r="K702" s="124"/>
    </row>
    <row r="703" ht="19.5" customHeight="1">
      <c r="K703" s="124"/>
    </row>
    <row r="704" ht="19.5" customHeight="1">
      <c r="K704" s="124"/>
    </row>
    <row r="705" ht="19.5" customHeight="1">
      <c r="K705" s="124"/>
    </row>
    <row r="706" ht="19.5" customHeight="1">
      <c r="K706" s="124"/>
    </row>
    <row r="707" ht="19.5" customHeight="1">
      <c r="K707" s="124"/>
    </row>
    <row r="708" ht="19.5" customHeight="1">
      <c r="K708" s="124"/>
    </row>
    <row r="709" ht="19.5" customHeight="1">
      <c r="K709" s="124"/>
    </row>
    <row r="710" ht="19.5" customHeight="1">
      <c r="K710" s="124"/>
    </row>
    <row r="711" ht="19.5" customHeight="1">
      <c r="K711" s="124"/>
    </row>
    <row r="712" ht="19.5" customHeight="1">
      <c r="K712" s="124"/>
    </row>
    <row r="713" ht="19.5" customHeight="1">
      <c r="K713" s="124"/>
    </row>
    <row r="714" ht="19.5" customHeight="1">
      <c r="K714" s="124"/>
    </row>
    <row r="715" ht="19.5" customHeight="1">
      <c r="K715" s="124"/>
    </row>
    <row r="716" ht="19.5" customHeight="1">
      <c r="K716" s="124"/>
    </row>
    <row r="717" ht="19.5" customHeight="1">
      <c r="K717" s="124"/>
    </row>
    <row r="718" ht="19.5" customHeight="1">
      <c r="K718" s="124"/>
    </row>
    <row r="719" ht="19.5" customHeight="1">
      <c r="K719" s="124"/>
    </row>
    <row r="720" ht="19.5" customHeight="1">
      <c r="K720" s="124"/>
    </row>
    <row r="721" ht="19.5" customHeight="1">
      <c r="K721" s="124"/>
    </row>
    <row r="722" ht="19.5" customHeight="1">
      <c r="K722" s="124"/>
    </row>
    <row r="723" ht="19.5" customHeight="1">
      <c r="K723" s="124"/>
    </row>
    <row r="724" ht="19.5" customHeight="1">
      <c r="K724" s="124"/>
    </row>
    <row r="725" ht="19.5" customHeight="1">
      <c r="K725" s="124"/>
    </row>
    <row r="726" ht="19.5" customHeight="1">
      <c r="K726" s="124"/>
    </row>
    <row r="727" ht="19.5" customHeight="1">
      <c r="K727" s="124"/>
    </row>
    <row r="728" ht="19.5" customHeight="1">
      <c r="K728" s="124"/>
    </row>
    <row r="729" ht="19.5" customHeight="1">
      <c r="K729" s="124"/>
    </row>
    <row r="730" ht="19.5" customHeight="1">
      <c r="K730" s="124"/>
    </row>
    <row r="731" ht="19.5" customHeight="1">
      <c r="K731" s="124"/>
    </row>
    <row r="732" ht="19.5" customHeight="1">
      <c r="K732" s="124"/>
    </row>
    <row r="733" ht="19.5" customHeight="1">
      <c r="K733" s="124"/>
    </row>
    <row r="734" ht="19.5" customHeight="1">
      <c r="K734" s="124"/>
    </row>
    <row r="735" ht="19.5" customHeight="1">
      <c r="K735" s="124"/>
    </row>
    <row r="736" ht="19.5" customHeight="1">
      <c r="K736" s="124"/>
    </row>
    <row r="737" ht="19.5" customHeight="1">
      <c r="K737" s="124"/>
    </row>
    <row r="738" ht="19.5" customHeight="1">
      <c r="K738" s="124"/>
    </row>
    <row r="739" ht="19.5" customHeight="1">
      <c r="K739" s="124"/>
    </row>
    <row r="740" ht="19.5" customHeight="1">
      <c r="K740" s="124"/>
    </row>
    <row r="741" ht="19.5" customHeight="1">
      <c r="K741" s="124"/>
    </row>
    <row r="742" ht="19.5" customHeight="1">
      <c r="K742" s="124"/>
    </row>
    <row r="743" ht="19.5" customHeight="1">
      <c r="K743" s="124"/>
    </row>
    <row r="744" ht="19.5" customHeight="1">
      <c r="K744" s="124"/>
    </row>
    <row r="745" ht="19.5" customHeight="1">
      <c r="K745" s="124"/>
    </row>
    <row r="746" ht="19.5" customHeight="1">
      <c r="K746" s="124"/>
    </row>
    <row r="747" ht="19.5" customHeight="1">
      <c r="K747" s="124"/>
    </row>
    <row r="748" ht="19.5" customHeight="1">
      <c r="K748" s="124"/>
    </row>
    <row r="749" ht="19.5" customHeight="1">
      <c r="K749" s="124"/>
    </row>
    <row r="750" ht="19.5" customHeight="1">
      <c r="K750" s="124"/>
    </row>
    <row r="751" ht="19.5" customHeight="1">
      <c r="K751" s="124"/>
    </row>
    <row r="752" ht="19.5" customHeight="1">
      <c r="K752" s="124"/>
    </row>
    <row r="753" ht="19.5" customHeight="1">
      <c r="K753" s="124"/>
    </row>
    <row r="754" ht="19.5" customHeight="1">
      <c r="K754" s="124"/>
    </row>
    <row r="755" ht="19.5" customHeight="1">
      <c r="K755" s="124"/>
    </row>
    <row r="756" ht="19.5" customHeight="1">
      <c r="K756" s="124"/>
    </row>
    <row r="757" ht="19.5" customHeight="1">
      <c r="K757" s="124"/>
    </row>
    <row r="758" ht="19.5" customHeight="1">
      <c r="K758" s="124"/>
    </row>
    <row r="759" ht="19.5" customHeight="1">
      <c r="K759" s="124"/>
    </row>
    <row r="760" ht="19.5" customHeight="1">
      <c r="K760" s="124"/>
    </row>
    <row r="761" ht="19.5" customHeight="1">
      <c r="K761" s="124"/>
    </row>
    <row r="762" ht="19.5" customHeight="1">
      <c r="K762" s="124"/>
    </row>
    <row r="763" ht="19.5" customHeight="1">
      <c r="K763" s="124"/>
    </row>
    <row r="764" ht="19.5" customHeight="1">
      <c r="K764" s="124"/>
    </row>
    <row r="765" ht="19.5" customHeight="1">
      <c r="K765" s="124"/>
    </row>
    <row r="766" ht="19.5" customHeight="1">
      <c r="K766" s="124"/>
    </row>
    <row r="767" ht="19.5" customHeight="1">
      <c r="K767" s="124"/>
    </row>
    <row r="768" ht="19.5" customHeight="1">
      <c r="K768" s="124"/>
    </row>
    <row r="769" ht="19.5" customHeight="1">
      <c r="K769" s="124"/>
    </row>
    <row r="770" ht="19.5" customHeight="1">
      <c r="K770" s="124"/>
    </row>
    <row r="771" ht="19.5" customHeight="1">
      <c r="K771" s="124"/>
    </row>
    <row r="772" ht="19.5" customHeight="1">
      <c r="K772" s="124"/>
    </row>
    <row r="773" ht="19.5" customHeight="1">
      <c r="K773" s="124"/>
    </row>
    <row r="774" ht="19.5" customHeight="1">
      <c r="K774" s="124"/>
    </row>
    <row r="775" ht="19.5" customHeight="1">
      <c r="K775" s="124"/>
    </row>
    <row r="776" ht="19.5" customHeight="1">
      <c r="K776" s="124"/>
    </row>
    <row r="777" ht="19.5" customHeight="1">
      <c r="K777" s="124"/>
    </row>
    <row r="778" ht="19.5" customHeight="1">
      <c r="K778" s="124"/>
    </row>
    <row r="779" ht="19.5" customHeight="1">
      <c r="K779" s="124"/>
    </row>
    <row r="780" ht="19.5" customHeight="1">
      <c r="K780" s="124"/>
    </row>
    <row r="781" ht="19.5" customHeight="1">
      <c r="K781" s="124"/>
    </row>
    <row r="782" ht="19.5" customHeight="1">
      <c r="K782" s="124"/>
    </row>
    <row r="783" ht="19.5" customHeight="1">
      <c r="K783" s="124"/>
    </row>
    <row r="784" ht="19.5" customHeight="1">
      <c r="K784" s="124"/>
    </row>
    <row r="785" ht="19.5" customHeight="1">
      <c r="K785" s="124"/>
    </row>
    <row r="786" ht="19.5" customHeight="1">
      <c r="K786" s="124"/>
    </row>
    <row r="787" ht="19.5" customHeight="1">
      <c r="K787" s="124"/>
    </row>
    <row r="788" ht="19.5" customHeight="1">
      <c r="K788" s="124"/>
    </row>
    <row r="789" ht="19.5" customHeight="1">
      <c r="K789" s="124"/>
    </row>
    <row r="790" ht="19.5" customHeight="1">
      <c r="K790" s="124"/>
    </row>
    <row r="791" ht="19.5" customHeight="1">
      <c r="K791" s="124"/>
    </row>
    <row r="792" ht="19.5" customHeight="1">
      <c r="K792" s="124"/>
    </row>
    <row r="793" ht="19.5" customHeight="1">
      <c r="K793" s="124"/>
    </row>
    <row r="794" ht="19.5" customHeight="1">
      <c r="K794" s="124"/>
    </row>
    <row r="795" ht="19.5" customHeight="1">
      <c r="K795" s="124"/>
    </row>
    <row r="796" ht="19.5" customHeight="1">
      <c r="K796" s="124"/>
    </row>
    <row r="797" ht="19.5" customHeight="1">
      <c r="K797" s="124"/>
    </row>
    <row r="798" ht="19.5" customHeight="1">
      <c r="K798" s="124"/>
    </row>
    <row r="799" ht="19.5" customHeight="1">
      <c r="K799" s="124"/>
    </row>
    <row r="800" ht="19.5" customHeight="1">
      <c r="K800" s="124"/>
    </row>
    <row r="801" ht="19.5" customHeight="1">
      <c r="K801" s="124"/>
    </row>
    <row r="802" ht="19.5" customHeight="1">
      <c r="K802" s="124"/>
    </row>
    <row r="803" ht="19.5" customHeight="1">
      <c r="K803" s="124"/>
    </row>
    <row r="804" ht="19.5" customHeight="1">
      <c r="K804" s="124"/>
    </row>
    <row r="805" ht="19.5" customHeight="1">
      <c r="K805" s="124"/>
    </row>
    <row r="806" ht="19.5" customHeight="1">
      <c r="K806" s="124"/>
    </row>
    <row r="807" ht="19.5" customHeight="1">
      <c r="K807" s="124"/>
    </row>
    <row r="808" ht="19.5" customHeight="1">
      <c r="K808" s="124"/>
    </row>
    <row r="809" ht="19.5" customHeight="1">
      <c r="K809" s="124"/>
    </row>
    <row r="810" ht="19.5" customHeight="1">
      <c r="K810" s="124"/>
    </row>
    <row r="811" ht="19.5" customHeight="1">
      <c r="K811" s="124"/>
    </row>
    <row r="812" ht="19.5" customHeight="1">
      <c r="K812" s="124"/>
    </row>
    <row r="813" ht="19.5" customHeight="1">
      <c r="K813" s="124"/>
    </row>
    <row r="814" ht="19.5" customHeight="1">
      <c r="K814" s="124"/>
    </row>
    <row r="815" ht="19.5" customHeight="1">
      <c r="K815" s="124"/>
    </row>
    <row r="816" ht="19.5" customHeight="1">
      <c r="K816" s="124"/>
    </row>
    <row r="817" ht="19.5" customHeight="1">
      <c r="K817" s="124"/>
    </row>
    <row r="818" ht="19.5" customHeight="1">
      <c r="K818" s="124"/>
    </row>
    <row r="819" ht="19.5" customHeight="1">
      <c r="K819" s="124"/>
    </row>
    <row r="820" ht="19.5" customHeight="1">
      <c r="K820" s="124"/>
    </row>
    <row r="821" ht="19.5" customHeight="1">
      <c r="K821" s="124"/>
    </row>
    <row r="822" ht="19.5" customHeight="1">
      <c r="K822" s="124"/>
    </row>
    <row r="823" ht="19.5" customHeight="1">
      <c r="K823" s="124"/>
    </row>
    <row r="824" ht="19.5" customHeight="1">
      <c r="K824" s="124"/>
    </row>
    <row r="825" ht="19.5" customHeight="1">
      <c r="K825" s="124"/>
    </row>
    <row r="826" ht="19.5" customHeight="1">
      <c r="K826" s="124"/>
    </row>
    <row r="827" ht="19.5" customHeight="1">
      <c r="K827" s="124"/>
    </row>
    <row r="828" ht="19.5" customHeight="1">
      <c r="K828" s="124"/>
    </row>
    <row r="829" ht="19.5" customHeight="1">
      <c r="K829" s="124"/>
    </row>
    <row r="830" ht="19.5" customHeight="1">
      <c r="K830" s="124"/>
    </row>
    <row r="831" ht="19.5" customHeight="1">
      <c r="K831" s="124"/>
    </row>
    <row r="832" ht="19.5" customHeight="1">
      <c r="K832" s="124"/>
    </row>
    <row r="833" ht="19.5" customHeight="1">
      <c r="K833" s="124"/>
    </row>
    <row r="834" ht="19.5" customHeight="1">
      <c r="K834" s="124"/>
    </row>
    <row r="835" ht="19.5" customHeight="1">
      <c r="K835" s="124"/>
    </row>
    <row r="836" ht="19.5" customHeight="1">
      <c r="K836" s="124"/>
    </row>
    <row r="837" ht="19.5" customHeight="1">
      <c r="K837" s="124"/>
    </row>
    <row r="838" ht="19.5" customHeight="1">
      <c r="K838" s="124"/>
    </row>
    <row r="839" ht="19.5" customHeight="1">
      <c r="K839" s="124"/>
    </row>
    <row r="840" ht="19.5" customHeight="1">
      <c r="K840" s="124"/>
    </row>
    <row r="841" ht="19.5" customHeight="1">
      <c r="K841" s="124"/>
    </row>
    <row r="842" ht="19.5" customHeight="1">
      <c r="K842" s="124"/>
    </row>
    <row r="843" ht="19.5" customHeight="1">
      <c r="K843" s="124"/>
    </row>
    <row r="844" ht="19.5" customHeight="1">
      <c r="K844" s="124"/>
    </row>
    <row r="845" ht="19.5" customHeight="1">
      <c r="K845" s="124"/>
    </row>
    <row r="846" ht="19.5" customHeight="1">
      <c r="K846" s="124"/>
    </row>
    <row r="847" ht="19.5" customHeight="1">
      <c r="K847" s="124"/>
    </row>
    <row r="848" ht="19.5" customHeight="1">
      <c r="K848" s="124"/>
    </row>
    <row r="849" ht="19.5" customHeight="1">
      <c r="K849" s="124"/>
    </row>
    <row r="850" ht="19.5" customHeight="1">
      <c r="K850" s="124"/>
    </row>
    <row r="851" ht="19.5" customHeight="1">
      <c r="K851" s="124"/>
    </row>
    <row r="852" ht="19.5" customHeight="1">
      <c r="K852" s="124"/>
    </row>
    <row r="853" ht="19.5" customHeight="1">
      <c r="K853" s="124"/>
    </row>
    <row r="854" ht="19.5" customHeight="1">
      <c r="K854" s="124"/>
    </row>
    <row r="855" ht="19.5" customHeight="1">
      <c r="K855" s="124"/>
    </row>
    <row r="856" ht="19.5" customHeight="1">
      <c r="K856" s="124"/>
    </row>
    <row r="857" ht="19.5" customHeight="1">
      <c r="K857" s="124"/>
    </row>
    <row r="858" ht="19.5" customHeight="1">
      <c r="K858" s="124"/>
    </row>
    <row r="859" ht="19.5" customHeight="1">
      <c r="K859" s="124"/>
    </row>
    <row r="860" ht="19.5" customHeight="1">
      <c r="K860" s="124"/>
    </row>
    <row r="861" ht="19.5" customHeight="1">
      <c r="K861" s="124"/>
    </row>
    <row r="862" ht="19.5" customHeight="1">
      <c r="K862" s="124"/>
    </row>
    <row r="863" ht="19.5" customHeight="1">
      <c r="K863" s="124"/>
    </row>
    <row r="864" ht="19.5" customHeight="1">
      <c r="K864" s="124"/>
    </row>
    <row r="865" ht="19.5" customHeight="1">
      <c r="K865" s="124"/>
    </row>
    <row r="866" ht="19.5" customHeight="1">
      <c r="K866" s="124"/>
    </row>
    <row r="867" ht="19.5" customHeight="1">
      <c r="K867" s="124"/>
    </row>
    <row r="868" ht="19.5" customHeight="1">
      <c r="K868" s="124"/>
    </row>
    <row r="869" ht="19.5" customHeight="1">
      <c r="K869" s="124"/>
    </row>
    <row r="870" ht="19.5" customHeight="1">
      <c r="K870" s="124"/>
    </row>
    <row r="871" ht="19.5" customHeight="1">
      <c r="K871" s="124"/>
    </row>
    <row r="872" ht="19.5" customHeight="1">
      <c r="K872" s="124"/>
    </row>
    <row r="873" ht="19.5" customHeight="1">
      <c r="K873" s="124"/>
    </row>
    <row r="874" ht="19.5" customHeight="1">
      <c r="K874" s="124"/>
    </row>
    <row r="875" ht="19.5" customHeight="1">
      <c r="K875" s="124"/>
    </row>
    <row r="876" ht="19.5" customHeight="1">
      <c r="K876" s="124"/>
    </row>
    <row r="877" ht="19.5" customHeight="1">
      <c r="K877" s="124"/>
    </row>
    <row r="878" ht="19.5" customHeight="1">
      <c r="K878" s="124"/>
    </row>
    <row r="879" ht="19.5" customHeight="1">
      <c r="K879" s="124"/>
    </row>
    <row r="880" ht="19.5" customHeight="1">
      <c r="K880" s="124"/>
    </row>
    <row r="881" ht="19.5" customHeight="1">
      <c r="K881" s="124"/>
    </row>
    <row r="882" ht="19.5" customHeight="1">
      <c r="K882" s="124"/>
    </row>
    <row r="883" ht="19.5" customHeight="1">
      <c r="K883" s="124"/>
    </row>
    <row r="884" ht="19.5" customHeight="1">
      <c r="K884" s="124"/>
    </row>
    <row r="885" ht="19.5" customHeight="1">
      <c r="K885" s="124"/>
    </row>
    <row r="886" ht="19.5" customHeight="1">
      <c r="K886" s="124"/>
    </row>
    <row r="887" ht="19.5" customHeight="1">
      <c r="K887" s="124"/>
    </row>
    <row r="888" ht="19.5" customHeight="1">
      <c r="K888" s="124"/>
    </row>
    <row r="889" ht="19.5" customHeight="1">
      <c r="K889" s="124"/>
    </row>
    <row r="890" ht="19.5" customHeight="1">
      <c r="K890" s="124"/>
    </row>
    <row r="891" ht="19.5" customHeight="1">
      <c r="K891" s="124"/>
    </row>
    <row r="892" ht="19.5" customHeight="1">
      <c r="K892" s="124"/>
    </row>
    <row r="893" ht="19.5" customHeight="1">
      <c r="K893" s="124"/>
    </row>
    <row r="894" ht="19.5" customHeight="1">
      <c r="K894" s="124"/>
    </row>
    <row r="895" ht="19.5" customHeight="1">
      <c r="K895" s="124"/>
    </row>
    <row r="896" ht="19.5" customHeight="1">
      <c r="K896" s="124"/>
    </row>
    <row r="897" ht="19.5" customHeight="1">
      <c r="K897" s="124"/>
    </row>
    <row r="898" ht="19.5" customHeight="1">
      <c r="K898" s="124"/>
    </row>
    <row r="899" ht="19.5" customHeight="1">
      <c r="K899" s="124"/>
    </row>
    <row r="900" ht="19.5" customHeight="1">
      <c r="K900" s="124"/>
    </row>
    <row r="901" ht="19.5" customHeight="1">
      <c r="K901" s="124"/>
    </row>
    <row r="902" ht="19.5" customHeight="1">
      <c r="K902" s="124"/>
    </row>
    <row r="903" ht="19.5" customHeight="1">
      <c r="K903" s="124"/>
    </row>
    <row r="904" ht="19.5" customHeight="1">
      <c r="K904" s="124"/>
    </row>
    <row r="905" ht="19.5" customHeight="1">
      <c r="K905" s="124"/>
    </row>
    <row r="906" ht="19.5" customHeight="1">
      <c r="K906" s="124"/>
    </row>
    <row r="907" ht="19.5" customHeight="1">
      <c r="K907" s="124"/>
    </row>
    <row r="908" ht="19.5" customHeight="1">
      <c r="K908" s="124"/>
    </row>
    <row r="909" ht="19.5" customHeight="1">
      <c r="K909" s="124"/>
    </row>
    <row r="910" ht="19.5" customHeight="1">
      <c r="K910" s="124"/>
    </row>
    <row r="911" ht="19.5" customHeight="1">
      <c r="K911" s="124"/>
    </row>
    <row r="912" ht="19.5" customHeight="1">
      <c r="K912" s="124"/>
    </row>
    <row r="913" ht="19.5" customHeight="1">
      <c r="K913" s="124"/>
    </row>
    <row r="914" ht="19.5" customHeight="1">
      <c r="K914" s="124"/>
    </row>
    <row r="915" ht="19.5" customHeight="1">
      <c r="K915" s="124"/>
    </row>
    <row r="916" ht="19.5" customHeight="1">
      <c r="K916" s="124"/>
    </row>
    <row r="917" ht="19.5" customHeight="1">
      <c r="K917" s="124"/>
    </row>
    <row r="918" ht="19.5" customHeight="1">
      <c r="K918" s="124"/>
    </row>
    <row r="919" ht="19.5" customHeight="1">
      <c r="K919" s="124"/>
    </row>
    <row r="920" ht="19.5" customHeight="1">
      <c r="K920" s="124"/>
    </row>
    <row r="921" ht="19.5" customHeight="1">
      <c r="K921" s="124"/>
    </row>
    <row r="922" ht="19.5" customHeight="1">
      <c r="K922" s="124"/>
    </row>
    <row r="923" ht="19.5" customHeight="1">
      <c r="K923" s="124"/>
    </row>
    <row r="924" ht="19.5" customHeight="1">
      <c r="K924" s="124"/>
    </row>
    <row r="925" ht="19.5" customHeight="1">
      <c r="K925" s="124"/>
    </row>
    <row r="926" ht="19.5" customHeight="1">
      <c r="K926" s="124"/>
    </row>
    <row r="927" ht="19.5" customHeight="1">
      <c r="K927" s="124"/>
    </row>
    <row r="928" ht="19.5" customHeight="1">
      <c r="K928" s="124"/>
    </row>
    <row r="929" ht="19.5" customHeight="1">
      <c r="K929" s="124"/>
    </row>
    <row r="930" ht="19.5" customHeight="1">
      <c r="K930" s="124"/>
    </row>
    <row r="931" ht="19.5" customHeight="1">
      <c r="K931" s="124"/>
    </row>
    <row r="932" ht="19.5" customHeight="1">
      <c r="K932" s="124"/>
    </row>
    <row r="933" ht="19.5" customHeight="1">
      <c r="K933" s="124"/>
    </row>
    <row r="934" ht="19.5" customHeight="1">
      <c r="K934" s="124"/>
    </row>
    <row r="935" ht="19.5" customHeight="1">
      <c r="K935" s="124"/>
    </row>
    <row r="936" ht="19.5" customHeight="1">
      <c r="K936" s="124"/>
    </row>
    <row r="937" ht="19.5" customHeight="1">
      <c r="K937" s="124"/>
    </row>
    <row r="938" ht="19.5" customHeight="1">
      <c r="K938" s="124"/>
    </row>
    <row r="939" ht="19.5" customHeight="1">
      <c r="K939" s="124"/>
    </row>
    <row r="940" ht="19.5" customHeight="1">
      <c r="K940" s="124"/>
    </row>
    <row r="941" ht="19.5" customHeight="1">
      <c r="K941" s="124"/>
    </row>
    <row r="942" ht="19.5" customHeight="1">
      <c r="K942" s="124"/>
    </row>
    <row r="943" ht="19.5" customHeight="1">
      <c r="K943" s="124"/>
    </row>
    <row r="944" ht="19.5" customHeight="1">
      <c r="K944" s="124"/>
    </row>
    <row r="945" ht="19.5" customHeight="1">
      <c r="K945" s="124"/>
    </row>
    <row r="946" ht="19.5" customHeight="1">
      <c r="K946" s="124"/>
    </row>
    <row r="947" ht="19.5" customHeight="1">
      <c r="K947" s="124"/>
    </row>
    <row r="948" ht="19.5" customHeight="1">
      <c r="K948" s="124"/>
    </row>
    <row r="949" ht="19.5" customHeight="1">
      <c r="K949" s="124"/>
    </row>
    <row r="950" ht="19.5" customHeight="1">
      <c r="K950" s="124"/>
    </row>
    <row r="951" ht="19.5" customHeight="1">
      <c r="K951" s="124"/>
    </row>
    <row r="952" ht="19.5" customHeight="1">
      <c r="K952" s="124"/>
    </row>
    <row r="953" ht="19.5" customHeight="1">
      <c r="K953" s="124"/>
    </row>
    <row r="954" ht="19.5" customHeight="1">
      <c r="K954" s="124"/>
    </row>
    <row r="955" ht="19.5" customHeight="1">
      <c r="K955" s="124"/>
    </row>
    <row r="956" ht="19.5" customHeight="1">
      <c r="K956" s="124"/>
    </row>
    <row r="957" ht="19.5" customHeight="1">
      <c r="K957" s="124"/>
    </row>
    <row r="958" ht="19.5" customHeight="1">
      <c r="K958" s="124"/>
    </row>
    <row r="959" ht="19.5" customHeight="1">
      <c r="K959" s="124"/>
    </row>
    <row r="960" ht="19.5" customHeight="1">
      <c r="K960" s="124"/>
    </row>
    <row r="961" ht="19.5" customHeight="1">
      <c r="K961" s="124"/>
    </row>
    <row r="962" ht="19.5" customHeight="1">
      <c r="K962" s="124"/>
    </row>
    <row r="963" ht="19.5" customHeight="1">
      <c r="K963" s="124"/>
    </row>
    <row r="964" ht="19.5" customHeight="1">
      <c r="K964" s="124"/>
    </row>
    <row r="965" ht="19.5" customHeight="1">
      <c r="K965" s="124"/>
    </row>
    <row r="966" ht="19.5" customHeight="1">
      <c r="K966" s="124"/>
    </row>
    <row r="967" ht="19.5" customHeight="1">
      <c r="K967" s="124"/>
    </row>
    <row r="968" ht="19.5" customHeight="1">
      <c r="K968" s="124"/>
    </row>
    <row r="969" ht="19.5" customHeight="1">
      <c r="K969" s="124"/>
    </row>
    <row r="970" ht="19.5" customHeight="1">
      <c r="K970" s="124"/>
    </row>
    <row r="971" ht="19.5" customHeight="1">
      <c r="K971" s="124"/>
    </row>
    <row r="972" ht="19.5" customHeight="1">
      <c r="K972" s="124"/>
    </row>
    <row r="973" ht="19.5" customHeight="1">
      <c r="K973" s="124"/>
    </row>
    <row r="974" ht="19.5" customHeight="1">
      <c r="K974" s="124"/>
    </row>
    <row r="975" ht="19.5" customHeight="1">
      <c r="K975" s="124"/>
    </row>
    <row r="976" ht="19.5" customHeight="1">
      <c r="K976" s="124"/>
    </row>
    <row r="977" ht="19.5" customHeight="1">
      <c r="K977" s="124"/>
    </row>
    <row r="978" ht="19.5" customHeight="1">
      <c r="K978" s="124"/>
    </row>
    <row r="979" ht="19.5" customHeight="1">
      <c r="K979" s="124"/>
    </row>
    <row r="980" ht="19.5" customHeight="1">
      <c r="K980" s="124"/>
    </row>
    <row r="981" ht="19.5" customHeight="1">
      <c r="K981" s="124"/>
    </row>
    <row r="982" ht="19.5" customHeight="1">
      <c r="K982" s="124"/>
    </row>
    <row r="983" ht="19.5" customHeight="1">
      <c r="K983" s="124"/>
    </row>
    <row r="984" ht="19.5" customHeight="1">
      <c r="K984" s="124"/>
    </row>
    <row r="985" ht="19.5" customHeight="1">
      <c r="K985" s="124"/>
    </row>
    <row r="986" ht="19.5" customHeight="1">
      <c r="K986" s="124"/>
    </row>
    <row r="987" ht="19.5" customHeight="1">
      <c r="K987" s="124"/>
    </row>
    <row r="988" ht="19.5" customHeight="1">
      <c r="K988" s="124"/>
    </row>
    <row r="989" ht="19.5" customHeight="1">
      <c r="K989" s="124"/>
    </row>
    <row r="990" ht="19.5" customHeight="1">
      <c r="K990" s="124"/>
    </row>
    <row r="991" ht="19.5" customHeight="1">
      <c r="K991" s="124"/>
    </row>
    <row r="992" ht="19.5" customHeight="1">
      <c r="K992" s="124"/>
    </row>
    <row r="993" ht="19.5" customHeight="1">
      <c r="K993" s="124"/>
    </row>
    <row r="994" ht="19.5" customHeight="1">
      <c r="K994" s="124"/>
    </row>
    <row r="995" ht="19.5" customHeight="1">
      <c r="K995" s="124"/>
    </row>
    <row r="996" ht="19.5" customHeight="1">
      <c r="K996" s="124"/>
    </row>
  </sheetData>
  <mergeCells count="130">
    <mergeCell ref="M10:W10"/>
    <mergeCell ref="N11:V11"/>
    <mergeCell ref="M17:W17"/>
    <mergeCell ref="N18:V18"/>
    <mergeCell ref="M25:W25"/>
    <mergeCell ref="N26:V26"/>
    <mergeCell ref="M33:W33"/>
    <mergeCell ref="M71:W71"/>
    <mergeCell ref="N72:V72"/>
    <mergeCell ref="M78:W78"/>
    <mergeCell ref="N79:V79"/>
    <mergeCell ref="X71:X82"/>
    <mergeCell ref="X85:X89"/>
    <mergeCell ref="N34:V34"/>
    <mergeCell ref="M45:W45"/>
    <mergeCell ref="X57:X68"/>
    <mergeCell ref="N58:V58"/>
    <mergeCell ref="M64:W64"/>
    <mergeCell ref="N65:V65"/>
    <mergeCell ref="M85:W85"/>
    <mergeCell ref="N86:V86"/>
    <mergeCell ref="AA26:AI26"/>
    <mergeCell ref="Z33:AJ33"/>
    <mergeCell ref="AK33:AK54"/>
    <mergeCell ref="AA34:AI34"/>
    <mergeCell ref="Z45:AJ45"/>
    <mergeCell ref="N46:V46"/>
    <mergeCell ref="AA46:AI46"/>
    <mergeCell ref="AA72:AI72"/>
    <mergeCell ref="Z78:AJ78"/>
    <mergeCell ref="M57:W57"/>
    <mergeCell ref="Z57:AJ57"/>
    <mergeCell ref="AK57:AK68"/>
    <mergeCell ref="AA58:AI58"/>
    <mergeCell ref="Z64:AJ64"/>
    <mergeCell ref="AA65:AI65"/>
    <mergeCell ref="AK71:AK82"/>
    <mergeCell ref="AK92:AK99"/>
    <mergeCell ref="AK102:AK106"/>
    <mergeCell ref="AK109:AK116"/>
    <mergeCell ref="AK119:AK123"/>
    <mergeCell ref="AA79:AI79"/>
    <mergeCell ref="Z85:AJ85"/>
    <mergeCell ref="AK85:AK89"/>
    <mergeCell ref="AA86:AI86"/>
    <mergeCell ref="Z92:AJ92"/>
    <mergeCell ref="AA93:AI93"/>
    <mergeCell ref="Z102:AJ102"/>
    <mergeCell ref="Z148:AJ148"/>
    <mergeCell ref="AA149:AI149"/>
    <mergeCell ref="Z159:AJ159"/>
    <mergeCell ref="AA160:AI160"/>
    <mergeCell ref="AA103:AI103"/>
    <mergeCell ref="Z109:AJ109"/>
    <mergeCell ref="AA110:AI110"/>
    <mergeCell ref="Z117:AJ117"/>
    <mergeCell ref="AA118:AI118"/>
    <mergeCell ref="Z131:AJ131"/>
    <mergeCell ref="AA132:AI132"/>
    <mergeCell ref="A77:K77"/>
    <mergeCell ref="B78:J78"/>
    <mergeCell ref="A86:K86"/>
    <mergeCell ref="B87:J87"/>
    <mergeCell ref="A96:K96"/>
    <mergeCell ref="B97:J97"/>
    <mergeCell ref="A114:K114"/>
    <mergeCell ref="B115:J115"/>
    <mergeCell ref="A133:K133"/>
    <mergeCell ref="B134:J134"/>
    <mergeCell ref="A139:K139"/>
    <mergeCell ref="B140:J140"/>
    <mergeCell ref="A148:K148"/>
    <mergeCell ref="B149:J149"/>
    <mergeCell ref="A153:K153"/>
    <mergeCell ref="B154:J154"/>
    <mergeCell ref="A159:K159"/>
    <mergeCell ref="B160:J160"/>
    <mergeCell ref="A166:K166"/>
    <mergeCell ref="B167:J167"/>
    <mergeCell ref="A173:K173"/>
    <mergeCell ref="A211:K211"/>
    <mergeCell ref="B212:J212"/>
    <mergeCell ref="A222:K222"/>
    <mergeCell ref="B223:J223"/>
    <mergeCell ref="A228:K228"/>
    <mergeCell ref="B229:J229"/>
    <mergeCell ref="B233:J233"/>
    <mergeCell ref="A239:K239"/>
    <mergeCell ref="B174:J174"/>
    <mergeCell ref="A182:K182"/>
    <mergeCell ref="B183:J183"/>
    <mergeCell ref="B190:J190"/>
    <mergeCell ref="B196:J196"/>
    <mergeCell ref="A202:K202"/>
    <mergeCell ref="B203:J203"/>
    <mergeCell ref="M3:W3"/>
    <mergeCell ref="N4:V4"/>
    <mergeCell ref="E1:P1"/>
    <mergeCell ref="A2:J2"/>
    <mergeCell ref="M2:X2"/>
    <mergeCell ref="Z2:AK2"/>
    <mergeCell ref="A3:K3"/>
    <mergeCell ref="X3:X14"/>
    <mergeCell ref="B4:J4"/>
    <mergeCell ref="AA18:AI18"/>
    <mergeCell ref="Z25:AJ25"/>
    <mergeCell ref="X17:X30"/>
    <mergeCell ref="X33:X54"/>
    <mergeCell ref="Z3:AJ3"/>
    <mergeCell ref="AK3:AK14"/>
    <mergeCell ref="AA4:AI4"/>
    <mergeCell ref="Z10:AJ10"/>
    <mergeCell ref="AA11:AI11"/>
    <mergeCell ref="Z17:AJ17"/>
    <mergeCell ref="AK17:AK30"/>
    <mergeCell ref="Z71:AJ71"/>
    <mergeCell ref="A13:K13"/>
    <mergeCell ref="B14:J14"/>
    <mergeCell ref="A24:K24"/>
    <mergeCell ref="B25:J25"/>
    <mergeCell ref="A31:K31"/>
    <mergeCell ref="B32:J32"/>
    <mergeCell ref="A39:K39"/>
    <mergeCell ref="B40:J40"/>
    <mergeCell ref="A49:K49"/>
    <mergeCell ref="B50:J50"/>
    <mergeCell ref="A60:K60"/>
    <mergeCell ref="B61:J61"/>
    <mergeCell ref="A68:K68"/>
    <mergeCell ref="B69:J69"/>
  </mergeCells>
  <conditionalFormatting sqref="B7:K11 B28:K29 B35:K36 B43:K47 B53:K57 B64:K66 B72:K74 B81:K84 B90:K93 B100:K112 B118:K130 B137:K137 B151:K151 B156:K156 B163:K163 B170:K170 B177:K177 B206:K208 B215:K215 B226:K226 B231:K231 B235:K235 B241:J241">
    <cfRule type="cellIs" dxfId="0" priority="1" operator="lessThan">
      <formula>3</formula>
    </cfRule>
  </conditionalFormatting>
  <conditionalFormatting sqref="B17:K21">
    <cfRule type="cellIs" dxfId="0" priority="2" operator="lessThan">
      <formula>3</formula>
    </cfRule>
  </conditionalFormatting>
  <conditionalFormatting sqref="K143:K144">
    <cfRule type="cellIs" dxfId="0" priority="3" operator="lessThan">
      <formula>3</formula>
    </cfRule>
  </conditionalFormatting>
  <conditionalFormatting sqref="B186:B188">
    <cfRule type="cellIs" dxfId="0" priority="4" operator="lessThan">
      <formula>3</formula>
    </cfRule>
  </conditionalFormatting>
  <conditionalFormatting sqref="B193:B194">
    <cfRule type="cellIs" dxfId="0" priority="5" operator="lessThan">
      <formula>3</formula>
    </cfRule>
  </conditionalFormatting>
  <conditionalFormatting sqref="B199:B200">
    <cfRule type="cellIs" dxfId="0" priority="6" operator="lessThan">
      <formula>3</formula>
    </cfRule>
  </conditionalFormatting>
  <conditionalFormatting sqref="N89:W90">
    <cfRule type="cellIs" dxfId="0" priority="7" operator="lessThan">
      <formula>3</formula>
    </cfRule>
  </conditionalFormatting>
  <conditionalFormatting sqref="N68:W69">
    <cfRule type="cellIs" dxfId="0" priority="8" operator="lessThan">
      <formula>3</formula>
    </cfRule>
  </conditionalFormatting>
  <conditionalFormatting sqref="N61:W62">
    <cfRule type="cellIs" dxfId="0" priority="9" operator="lessThan">
      <formula>3</formula>
    </cfRule>
  </conditionalFormatting>
  <conditionalFormatting sqref="N49:W55">
    <cfRule type="cellIs" dxfId="0" priority="10" operator="lessThan">
      <formula>3</formula>
    </cfRule>
  </conditionalFormatting>
  <conditionalFormatting sqref="N37:W43">
    <cfRule type="cellIs" dxfId="0" priority="11" operator="lessThan">
      <formula>3</formula>
    </cfRule>
  </conditionalFormatting>
  <conditionalFormatting sqref="N29:W31">
    <cfRule type="cellIs" dxfId="0" priority="12" operator="lessThan">
      <formula>3</formula>
    </cfRule>
  </conditionalFormatting>
  <conditionalFormatting sqref="N21:W23">
    <cfRule type="cellIs" dxfId="0" priority="13" operator="lessThan">
      <formula>3</formula>
    </cfRule>
  </conditionalFormatting>
  <conditionalFormatting sqref="N14:W15">
    <cfRule type="cellIs" dxfId="0" priority="14" operator="lessThan">
      <formula>3</formula>
    </cfRule>
  </conditionalFormatting>
  <conditionalFormatting sqref="N7:W8">
    <cfRule type="cellIs" dxfId="0" priority="15" operator="lessThan">
      <formula>3</formula>
    </cfRule>
  </conditionalFormatting>
  <conditionalFormatting sqref="AA7:AJ8">
    <cfRule type="cellIs" dxfId="0" priority="16" operator="lessThan">
      <formula>3</formula>
    </cfRule>
  </conditionalFormatting>
  <conditionalFormatting sqref="AA14:AJ15">
    <cfRule type="cellIs" dxfId="0" priority="17" operator="lessThan">
      <formula>3</formula>
    </cfRule>
  </conditionalFormatting>
  <conditionalFormatting sqref="AA21:AJ23">
    <cfRule type="cellIs" dxfId="0" priority="18" operator="lessThan">
      <formula>3</formula>
    </cfRule>
  </conditionalFormatting>
  <conditionalFormatting sqref="AA29:AJ31">
    <cfRule type="cellIs" dxfId="0" priority="19" operator="lessThan">
      <formula>3</formula>
    </cfRule>
  </conditionalFormatting>
  <conditionalFormatting sqref="AA37:AJ40">
    <cfRule type="cellIs" dxfId="0" priority="20" operator="lessThan">
      <formula>3</formula>
    </cfRule>
  </conditionalFormatting>
  <conditionalFormatting sqref="AA49:AJ52">
    <cfRule type="cellIs" dxfId="0" priority="21" operator="lessThan">
      <formula>3</formula>
    </cfRule>
  </conditionalFormatting>
  <conditionalFormatting sqref="AA61:AJ62">
    <cfRule type="cellIs" dxfId="0" priority="22" operator="lessThan">
      <formula>3</formula>
    </cfRule>
  </conditionalFormatting>
  <conditionalFormatting sqref="AA68:AJ69">
    <cfRule type="cellIs" dxfId="0" priority="23" operator="lessThan">
      <formula>3</formula>
    </cfRule>
  </conditionalFormatting>
  <conditionalFormatting sqref="AA89:AJ90">
    <cfRule type="cellIs" dxfId="0" priority="24" operator="lessThan">
      <formula>3</formula>
    </cfRule>
  </conditionalFormatting>
  <conditionalFormatting sqref="AA96:AJ100">
    <cfRule type="cellIs" dxfId="0" priority="25" operator="lessThan">
      <formula>3</formula>
    </cfRule>
  </conditionalFormatting>
  <conditionalFormatting sqref="AA106:AJ107">
    <cfRule type="cellIs" dxfId="0" priority="26" operator="lessThan">
      <formula>3</formula>
    </cfRule>
  </conditionalFormatting>
  <conditionalFormatting sqref="AA113:AJ114">
    <cfRule type="cellIs" dxfId="0" priority="27" operator="lessThan">
      <formula>3</formula>
    </cfRule>
  </conditionalFormatting>
  <conditionalFormatting sqref="AA121:AJ121">
    <cfRule type="cellIs" dxfId="0" priority="28" operator="lessThan">
      <formula>3</formula>
    </cfRule>
  </conditionalFormatting>
  <conditionalFormatting sqref="B143:J144">
    <cfRule type="cellIs" dxfId="0" priority="29" operator="lessThan">
      <formula>3</formula>
    </cfRule>
  </conditionalFormatting>
  <conditionalFormatting sqref="AH135:AH147">
    <cfRule type="cellIs" dxfId="1" priority="30" operator="lessThanOrEqual">
      <formula>3</formula>
    </cfRule>
  </conditionalFormatting>
  <conditionalFormatting sqref="AA152:AJ154">
    <cfRule type="cellIs" dxfId="1" priority="31" operator="lessThanOrEqual">
      <formula>3</formula>
    </cfRule>
  </conditionalFormatting>
  <conditionalFormatting sqref="B110:J112">
    <cfRule type="cellIs" dxfId="1" priority="32" operator="lessThanOrEqual">
      <formula>3</formula>
    </cfRule>
  </conditionalFormatting>
  <printOptions/>
  <pageMargins bottom="0.75" footer="0.0" header="0.0" left="0.7" right="0.7" top="0.75"/>
  <pageSetup orientation="landscape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19" width="10.71"/>
    <col customWidth="1" min="20" max="20" width="25.43"/>
    <col customWidth="1" min="21" max="21" width="4.57"/>
    <col customWidth="1" min="22" max="22" width="17.57"/>
    <col customWidth="1" min="23" max="23" width="16.86"/>
    <col customWidth="1" min="24" max="24" width="15.14"/>
    <col customWidth="1" min="25" max="25" width="15.57"/>
    <col customWidth="1" min="26" max="26" width="17.71"/>
    <col customWidth="1" min="27" max="27" width="15.43"/>
    <col customWidth="1" min="28" max="29" width="10.71"/>
  </cols>
  <sheetData>
    <row r="1" ht="14.25" customHeight="1">
      <c r="K1" s="124"/>
      <c r="U1" s="153"/>
      <c r="V1" s="137"/>
      <c r="AC1" s="153"/>
    </row>
    <row r="2" ht="14.25" customHeight="1">
      <c r="A2" s="159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1"/>
      <c r="U2" s="153"/>
      <c r="AC2" s="153"/>
    </row>
    <row r="3" ht="14.25" customHeight="1">
      <c r="A3" s="81"/>
      <c r="B3" s="82" t="s">
        <v>144</v>
      </c>
      <c r="C3" s="50"/>
      <c r="D3" s="50"/>
      <c r="E3" s="50"/>
      <c r="F3" s="50"/>
      <c r="G3" s="50"/>
      <c r="H3" s="50"/>
      <c r="I3" s="50"/>
      <c r="J3" s="51"/>
      <c r="K3" s="83"/>
      <c r="U3" s="153"/>
      <c r="V3" s="153"/>
      <c r="W3" s="153"/>
      <c r="X3" s="153"/>
      <c r="Y3" s="153"/>
      <c r="Z3" s="153"/>
      <c r="AA3" s="153"/>
      <c r="AB3" s="153"/>
    </row>
    <row r="4" ht="14.25" customHeight="1">
      <c r="A4" s="81" t="s">
        <v>52</v>
      </c>
      <c r="B4" s="89">
        <v>28.0</v>
      </c>
      <c r="C4" s="89">
        <v>30.0</v>
      </c>
      <c r="D4" s="89">
        <v>32.0</v>
      </c>
      <c r="E4" s="89">
        <v>34.0</v>
      </c>
      <c r="F4" s="89">
        <v>36.0</v>
      </c>
      <c r="G4" s="89">
        <v>38.0</v>
      </c>
      <c r="H4" s="89">
        <v>40.0</v>
      </c>
      <c r="I4" s="89"/>
      <c r="J4" s="90"/>
      <c r="K4" s="83"/>
      <c r="U4" s="153"/>
      <c r="V4" s="153"/>
      <c r="W4" s="153"/>
      <c r="X4" s="153"/>
      <c r="Y4" s="153"/>
      <c r="Z4" s="153"/>
      <c r="AA4" s="153"/>
      <c r="AB4" s="153"/>
    </row>
    <row r="5" ht="14.25" customHeight="1">
      <c r="A5" s="81"/>
      <c r="B5" s="112" t="s">
        <v>4</v>
      </c>
      <c r="C5" s="112" t="s">
        <v>53</v>
      </c>
      <c r="D5" s="112" t="s">
        <v>54</v>
      </c>
      <c r="E5" s="112" t="s">
        <v>55</v>
      </c>
      <c r="F5" s="112" t="s">
        <v>56</v>
      </c>
      <c r="G5" s="112" t="s">
        <v>9</v>
      </c>
      <c r="H5" s="112" t="s">
        <v>10</v>
      </c>
      <c r="I5" s="112" t="s">
        <v>11</v>
      </c>
      <c r="J5" s="85" t="s">
        <v>12</v>
      </c>
      <c r="K5" s="134" t="s">
        <v>49</v>
      </c>
      <c r="U5" s="153"/>
      <c r="V5" s="153"/>
      <c r="W5" s="153"/>
      <c r="X5" s="153"/>
      <c r="Y5" s="153"/>
      <c r="Z5" s="153"/>
      <c r="AA5" s="153"/>
      <c r="AB5" s="153"/>
    </row>
    <row r="6" ht="14.25" customHeight="1">
      <c r="A6" s="106" t="s">
        <v>22</v>
      </c>
      <c r="B6" s="89">
        <f>0+2+2</f>
        <v>4</v>
      </c>
      <c r="C6" s="89">
        <f>0+3+2</f>
        <v>5</v>
      </c>
      <c r="D6" s="89">
        <f>0+3+2+1</f>
        <v>6</v>
      </c>
      <c r="E6" s="89">
        <f>0+2+2-1-1+1</f>
        <v>3</v>
      </c>
      <c r="F6" s="89">
        <f>0+3+2-1+1</f>
        <v>5</v>
      </c>
      <c r="G6" s="89">
        <f>0+2</f>
        <v>2</v>
      </c>
      <c r="H6" s="89">
        <f>0</f>
        <v>0</v>
      </c>
      <c r="I6" s="89">
        <f>0+2</f>
        <v>2</v>
      </c>
      <c r="J6" s="89">
        <f t="shared" ref="J6:J7" si="2">0</f>
        <v>0</v>
      </c>
      <c r="K6" s="83">
        <f t="shared" ref="K6:K7" si="3">SUM(B6:J6)</f>
        <v>27</v>
      </c>
      <c r="U6" s="153"/>
      <c r="V6" s="153"/>
      <c r="W6" s="153"/>
      <c r="X6" s="153"/>
      <c r="Y6" s="153"/>
      <c r="Z6" s="153"/>
      <c r="AA6" s="153"/>
      <c r="AB6" s="153"/>
    </row>
    <row r="7" ht="14.25" customHeight="1">
      <c r="A7" s="84" t="s">
        <v>27</v>
      </c>
      <c r="B7" s="89">
        <f>0+3+2</f>
        <v>5</v>
      </c>
      <c r="C7" s="89">
        <f>0+2+2+1+1</f>
        <v>6</v>
      </c>
      <c r="D7" s="89">
        <f>0+2+2+3+6</f>
        <v>13</v>
      </c>
      <c r="E7" s="89">
        <f>0+2+3+6</f>
        <v>11</v>
      </c>
      <c r="F7" s="89">
        <f>0+2-3+6+1</f>
        <v>6</v>
      </c>
      <c r="G7" s="89">
        <f>0+1+1+2+2</f>
        <v>6</v>
      </c>
      <c r="H7" s="89">
        <f t="shared" ref="H7:I7" si="1">0+2</f>
        <v>2</v>
      </c>
      <c r="I7" s="89">
        <f t="shared" si="1"/>
        <v>2</v>
      </c>
      <c r="J7" s="89">
        <f t="shared" si="2"/>
        <v>0</v>
      </c>
      <c r="K7" s="83">
        <f t="shared" si="3"/>
        <v>51</v>
      </c>
      <c r="U7" s="153"/>
      <c r="V7" s="153"/>
      <c r="W7" s="153"/>
      <c r="X7" s="153"/>
      <c r="Y7" s="153"/>
      <c r="Z7" s="153"/>
      <c r="AA7" s="153"/>
      <c r="AB7" s="153"/>
    </row>
    <row r="8" ht="14.25" customHeight="1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16">
        <f>SUM(K6:K7)</f>
        <v>78</v>
      </c>
      <c r="U8" s="153"/>
      <c r="V8" s="153"/>
      <c r="W8" s="153"/>
      <c r="X8" s="153"/>
      <c r="Y8" s="153"/>
      <c r="Z8" s="153"/>
      <c r="AA8" s="153"/>
      <c r="AB8" s="153"/>
    </row>
    <row r="9" ht="14.25" customHeight="1">
      <c r="K9" s="124"/>
      <c r="U9" s="153"/>
      <c r="V9" s="153"/>
      <c r="W9" s="153"/>
      <c r="X9" s="153"/>
      <c r="Y9" s="153"/>
      <c r="Z9" s="153"/>
      <c r="AA9" s="153"/>
      <c r="AB9" s="153"/>
    </row>
    <row r="10" ht="14.25" customHeight="1">
      <c r="A10" s="159" t="s">
        <v>111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  <c r="U10" s="153"/>
      <c r="V10" s="153"/>
      <c r="W10" s="153"/>
      <c r="X10" s="153"/>
      <c r="Y10" s="153"/>
      <c r="Z10" s="153"/>
      <c r="AA10" s="153"/>
      <c r="AB10" s="153"/>
    </row>
    <row r="11" ht="14.25" customHeight="1">
      <c r="A11" s="81"/>
      <c r="B11" s="82" t="s">
        <v>145</v>
      </c>
      <c r="C11" s="50"/>
      <c r="D11" s="50"/>
      <c r="E11" s="50"/>
      <c r="F11" s="50"/>
      <c r="G11" s="50"/>
      <c r="H11" s="50"/>
      <c r="I11" s="50"/>
      <c r="J11" s="51"/>
      <c r="K11" s="83"/>
      <c r="U11" s="153"/>
      <c r="V11" s="153"/>
      <c r="W11" s="153"/>
      <c r="X11" s="153"/>
      <c r="Y11" s="153"/>
      <c r="Z11" s="153"/>
      <c r="AA11" s="153"/>
      <c r="AB11" s="153"/>
    </row>
    <row r="12" ht="14.25" customHeight="1">
      <c r="A12" s="81" t="s">
        <v>52</v>
      </c>
      <c r="B12" s="89">
        <v>28.0</v>
      </c>
      <c r="C12" s="89">
        <v>30.0</v>
      </c>
      <c r="D12" s="89">
        <v>32.0</v>
      </c>
      <c r="E12" s="89">
        <v>34.0</v>
      </c>
      <c r="F12" s="89">
        <v>36.0</v>
      </c>
      <c r="G12" s="89">
        <v>38.0</v>
      </c>
      <c r="H12" s="89">
        <v>40.0</v>
      </c>
      <c r="I12" s="89"/>
      <c r="J12" s="90"/>
      <c r="K12" s="83"/>
      <c r="U12" s="153"/>
      <c r="V12" s="153"/>
      <c r="W12" s="153"/>
      <c r="X12" s="153"/>
      <c r="Y12" s="153"/>
      <c r="Z12" s="153"/>
      <c r="AA12" s="153"/>
      <c r="AB12" s="153"/>
    </row>
    <row r="13" ht="14.25" customHeight="1">
      <c r="A13" s="81"/>
      <c r="B13" s="112" t="s">
        <v>4</v>
      </c>
      <c r="C13" s="112" t="s">
        <v>53</v>
      </c>
      <c r="D13" s="112" t="s">
        <v>54</v>
      </c>
      <c r="E13" s="112" t="s">
        <v>55</v>
      </c>
      <c r="F13" s="112" t="s">
        <v>56</v>
      </c>
      <c r="G13" s="112" t="s">
        <v>9</v>
      </c>
      <c r="H13" s="112" t="s">
        <v>10</v>
      </c>
      <c r="I13" s="112" t="s">
        <v>11</v>
      </c>
      <c r="J13" s="85" t="s">
        <v>12</v>
      </c>
      <c r="K13" s="134" t="s">
        <v>49</v>
      </c>
      <c r="U13" s="153"/>
      <c r="V13" s="153"/>
      <c r="W13" s="153"/>
      <c r="X13" s="153"/>
      <c r="Y13" s="153"/>
      <c r="Z13" s="153"/>
      <c r="AA13" s="153"/>
      <c r="AB13" s="153"/>
    </row>
    <row r="14" ht="14.25" customHeight="1">
      <c r="A14" s="106" t="s">
        <v>146</v>
      </c>
      <c r="B14" s="89">
        <f>0+2+2</f>
        <v>4</v>
      </c>
      <c r="C14" s="89">
        <f>0+1+2-1+1-1+1</f>
        <v>3</v>
      </c>
      <c r="D14" s="89">
        <f>0+1+1-1+2+1-2+2-4+4-1+1-1-2+1+2</f>
        <v>4</v>
      </c>
      <c r="E14" s="89">
        <f>0+2+1-3+2+3-2+2-5+1+5+1-1+2-2+2</f>
        <v>8</v>
      </c>
      <c r="F14" s="89">
        <f>0+1-1+2-1-1+1+1-1-1+1-1</f>
        <v>0</v>
      </c>
      <c r="G14" s="89">
        <f>0+1+2-1+1+2-1-1+1+1-1+1</f>
        <v>5</v>
      </c>
      <c r="H14" s="89">
        <f>0+3-2+2</f>
        <v>3</v>
      </c>
      <c r="I14" s="89">
        <f>0+1</f>
        <v>1</v>
      </c>
      <c r="J14" s="89">
        <f>0</f>
        <v>0</v>
      </c>
      <c r="K14" s="161">
        <f t="shared" ref="K14:K15" si="5">SUM(B14:J14)</f>
        <v>28</v>
      </c>
      <c r="U14" s="153"/>
      <c r="V14" s="153"/>
      <c r="W14" s="153"/>
      <c r="X14" s="153"/>
      <c r="Y14" s="153"/>
      <c r="Z14" s="153"/>
      <c r="AA14" s="153"/>
      <c r="AB14" s="153"/>
    </row>
    <row r="15" ht="14.25" customHeight="1">
      <c r="A15" s="84" t="s">
        <v>147</v>
      </c>
      <c r="B15" s="89">
        <f>0+1+2</f>
        <v>3</v>
      </c>
      <c r="C15" s="100">
        <f>0+3+2+1-1+1-1</f>
        <v>5</v>
      </c>
      <c r="D15" s="89">
        <f>0+4-1+1+1+2-1+1-1+1-6+6+1-1</f>
        <v>7</v>
      </c>
      <c r="E15" s="89">
        <f>0+1+2+4-1+1-3-4+3-1+1-1</f>
        <v>2</v>
      </c>
      <c r="F15" s="89">
        <f>0+2-2+2+2-1-1-1</f>
        <v>1</v>
      </c>
      <c r="G15" s="89">
        <f>0+2-2+2</f>
        <v>2</v>
      </c>
      <c r="H15" s="89">
        <f>0+1</f>
        <v>1</v>
      </c>
      <c r="I15" s="89">
        <f t="shared" ref="I15:J15" si="4">0</f>
        <v>0</v>
      </c>
      <c r="J15" s="89">
        <f t="shared" si="4"/>
        <v>0</v>
      </c>
      <c r="K15" s="161">
        <f t="shared" si="5"/>
        <v>21</v>
      </c>
      <c r="U15" s="153"/>
      <c r="V15" s="153"/>
      <c r="W15" s="153"/>
      <c r="X15" s="153"/>
      <c r="Y15" s="153"/>
      <c r="Z15" s="153"/>
      <c r="AA15" s="153"/>
      <c r="AB15" s="153"/>
    </row>
    <row r="16" ht="14.25" customHeight="1">
      <c r="A16" s="108"/>
      <c r="B16" s="109"/>
      <c r="C16" s="109"/>
      <c r="D16" s="109"/>
      <c r="E16" s="109"/>
      <c r="F16" s="109"/>
      <c r="G16" s="109"/>
      <c r="H16" s="109"/>
      <c r="I16" s="109"/>
      <c r="J16" s="109"/>
      <c r="K16" s="118">
        <f>SUM(K14:K15)</f>
        <v>49</v>
      </c>
      <c r="U16" s="153"/>
      <c r="V16" s="153"/>
      <c r="W16" s="153"/>
      <c r="X16" s="153"/>
      <c r="Y16" s="153"/>
      <c r="Z16" s="153"/>
      <c r="AA16" s="153"/>
      <c r="AB16" s="153"/>
    </row>
    <row r="17" ht="14.25" customHeight="1">
      <c r="K17" s="124"/>
      <c r="U17" s="153"/>
      <c r="V17" s="153"/>
      <c r="W17" s="153"/>
      <c r="X17" s="153"/>
      <c r="Y17" s="153"/>
      <c r="Z17" s="153"/>
      <c r="AA17" s="153"/>
      <c r="AB17" s="153"/>
    </row>
    <row r="18" ht="14.25" customHeight="1">
      <c r="A18" s="159" t="s">
        <v>111</v>
      </c>
      <c r="B18" s="50"/>
      <c r="C18" s="50"/>
      <c r="D18" s="50"/>
      <c r="E18" s="50"/>
      <c r="F18" s="50"/>
      <c r="G18" s="50"/>
      <c r="H18" s="50"/>
      <c r="I18" s="50"/>
      <c r="J18" s="50"/>
      <c r="K18" s="51"/>
      <c r="U18" s="153"/>
      <c r="V18" s="153"/>
      <c r="W18" s="153"/>
      <c r="X18" s="153"/>
      <c r="Y18" s="153"/>
      <c r="Z18" s="153"/>
      <c r="AA18" s="153"/>
      <c r="AB18" s="153"/>
    </row>
    <row r="19" ht="14.25" customHeight="1">
      <c r="A19" s="81"/>
      <c r="B19" s="82" t="s">
        <v>148</v>
      </c>
      <c r="C19" s="50"/>
      <c r="D19" s="50"/>
      <c r="E19" s="50"/>
      <c r="F19" s="50"/>
      <c r="G19" s="50"/>
      <c r="H19" s="50"/>
      <c r="I19" s="50"/>
      <c r="J19" s="51"/>
      <c r="K19" s="83"/>
      <c r="U19" s="153"/>
      <c r="V19" s="153"/>
      <c r="W19" s="153"/>
      <c r="X19" s="153"/>
      <c r="Y19" s="153"/>
      <c r="Z19" s="153"/>
      <c r="AA19" s="153"/>
      <c r="AB19" s="153"/>
    </row>
    <row r="20" ht="14.25" customHeight="1">
      <c r="A20" s="81" t="s">
        <v>52</v>
      </c>
      <c r="B20" s="81"/>
      <c r="C20" s="89">
        <v>28.0</v>
      </c>
      <c r="D20" s="89">
        <v>30.0</v>
      </c>
      <c r="E20" s="89">
        <v>32.0</v>
      </c>
      <c r="F20" s="89">
        <v>34.0</v>
      </c>
      <c r="G20" s="89">
        <v>36.0</v>
      </c>
      <c r="H20" s="89">
        <v>38.0</v>
      </c>
      <c r="I20" s="89">
        <v>40.0</v>
      </c>
      <c r="J20" s="89"/>
      <c r="K20" s="90"/>
      <c r="L20" s="83"/>
      <c r="U20" s="153"/>
      <c r="V20" s="153"/>
      <c r="W20" s="153"/>
      <c r="X20" s="153"/>
      <c r="Y20" s="153"/>
      <c r="Z20" s="153"/>
      <c r="AA20" s="153"/>
      <c r="AB20" s="153"/>
    </row>
    <row r="21" ht="14.25" customHeight="1">
      <c r="A21" s="81"/>
      <c r="B21" s="112" t="s">
        <v>149</v>
      </c>
      <c r="C21" s="112" t="s">
        <v>4</v>
      </c>
      <c r="D21" s="112" t="s">
        <v>53</v>
      </c>
      <c r="E21" s="112" t="s">
        <v>54</v>
      </c>
      <c r="F21" s="112" t="s">
        <v>55</v>
      </c>
      <c r="G21" s="112" t="s">
        <v>56</v>
      </c>
      <c r="H21" s="112" t="s">
        <v>9</v>
      </c>
      <c r="I21" s="112" t="s">
        <v>10</v>
      </c>
      <c r="J21" s="112" t="s">
        <v>11</v>
      </c>
      <c r="K21" s="85" t="s">
        <v>12</v>
      </c>
      <c r="L21" s="134" t="s">
        <v>49</v>
      </c>
      <c r="U21" s="153"/>
      <c r="V21" s="153"/>
      <c r="W21" s="153"/>
      <c r="X21" s="153"/>
      <c r="Y21" s="153"/>
      <c r="Z21" s="153"/>
      <c r="AA21" s="153"/>
      <c r="AB21" s="153"/>
    </row>
    <row r="22" ht="23.25" customHeight="1">
      <c r="A22" s="106" t="s">
        <v>146</v>
      </c>
      <c r="B22" s="105">
        <f>0+3</f>
        <v>3</v>
      </c>
      <c r="C22" s="105">
        <f>0+2+3</f>
        <v>5</v>
      </c>
      <c r="D22" s="105">
        <f>0+2+3-2+2-5+5+1</f>
        <v>6</v>
      </c>
      <c r="E22" s="105">
        <f>0+3-1-2+2+1-3+3+1+2</f>
        <v>6</v>
      </c>
      <c r="F22" s="105">
        <f>0+1-1+3+1-4+4+1-4+4+1-1-5+5</f>
        <v>5</v>
      </c>
      <c r="G22" s="105">
        <f>0+1+3-1-3+3+1-1</f>
        <v>3</v>
      </c>
      <c r="H22" s="105">
        <f>0+1</f>
        <v>1</v>
      </c>
      <c r="I22" s="89">
        <f>0</f>
        <v>0</v>
      </c>
      <c r="J22" s="89">
        <f t="shared" ref="J22:J23" si="6">0+1</f>
        <v>1</v>
      </c>
      <c r="K22" s="89">
        <f t="shared" ref="K22:K23" si="7">0</f>
        <v>0</v>
      </c>
      <c r="L22" s="161">
        <f t="shared" ref="L22:L23" si="8">SUM(C22:K22)</f>
        <v>27</v>
      </c>
      <c r="U22" s="153"/>
      <c r="V22" s="153"/>
      <c r="W22" s="153"/>
      <c r="X22" s="153"/>
      <c r="Y22" s="153"/>
      <c r="Z22" s="153"/>
      <c r="AA22" s="153"/>
      <c r="AB22" s="153"/>
    </row>
    <row r="23" ht="14.25" customHeight="1">
      <c r="A23" s="84" t="s">
        <v>147</v>
      </c>
      <c r="B23" s="105">
        <f>0+3</f>
        <v>3</v>
      </c>
      <c r="C23" s="105">
        <f>0+3</f>
        <v>3</v>
      </c>
      <c r="D23" s="105">
        <f>0+1+3</f>
        <v>4</v>
      </c>
      <c r="E23" s="105">
        <f>0+1+3-1+1+1-1-1</f>
        <v>3</v>
      </c>
      <c r="F23" s="105">
        <f>0+3+2-1</f>
        <v>4</v>
      </c>
      <c r="G23" s="117">
        <f>0+1+3-1+1</f>
        <v>4</v>
      </c>
      <c r="H23" s="105">
        <f>0+1+1</f>
        <v>2</v>
      </c>
      <c r="I23" s="89">
        <f>0+1-1+1+1</f>
        <v>2</v>
      </c>
      <c r="J23" s="89">
        <f t="shared" si="6"/>
        <v>1</v>
      </c>
      <c r="K23" s="89">
        <f t="shared" si="7"/>
        <v>0</v>
      </c>
      <c r="L23" s="161">
        <f t="shared" si="8"/>
        <v>23</v>
      </c>
      <c r="U23" s="153"/>
      <c r="V23" s="153"/>
      <c r="W23" s="153"/>
      <c r="X23" s="153"/>
      <c r="Y23" s="153"/>
      <c r="Z23" s="153"/>
      <c r="AA23" s="153"/>
      <c r="AB23" s="153"/>
    </row>
    <row r="24" ht="14.25" customHeight="1">
      <c r="A24" s="108"/>
      <c r="B24" s="109"/>
      <c r="C24" s="109"/>
      <c r="D24" s="109"/>
      <c r="E24" s="109"/>
      <c r="F24" s="132"/>
      <c r="G24" s="109"/>
      <c r="H24" s="109"/>
      <c r="I24" s="109"/>
      <c r="J24" s="109"/>
      <c r="K24" s="118">
        <f>SUM(L22:L23)</f>
        <v>50</v>
      </c>
      <c r="U24" s="153"/>
      <c r="V24" s="153"/>
      <c r="W24" s="153"/>
      <c r="X24" s="153"/>
      <c r="Y24" s="153"/>
      <c r="Z24" s="153"/>
      <c r="AA24" s="153"/>
      <c r="AB24" s="153"/>
    </row>
    <row r="25" ht="14.25" customHeight="1">
      <c r="K25" s="124"/>
      <c r="U25" s="153"/>
      <c r="V25" s="153"/>
      <c r="W25" s="153"/>
      <c r="X25" s="153"/>
      <c r="Y25" s="153"/>
      <c r="Z25" s="153"/>
      <c r="AA25" s="153"/>
      <c r="AB25" s="153"/>
    </row>
    <row r="26" ht="14.25" customHeight="1">
      <c r="A26" s="159" t="s">
        <v>111</v>
      </c>
      <c r="B26" s="50"/>
      <c r="C26" s="50"/>
      <c r="D26" s="50"/>
      <c r="E26" s="50"/>
      <c r="F26" s="50"/>
      <c r="G26" s="50"/>
      <c r="H26" s="50"/>
      <c r="I26" s="50"/>
      <c r="J26" s="50"/>
      <c r="K26" s="51"/>
      <c r="U26" s="153"/>
      <c r="V26" s="153"/>
      <c r="W26" s="153"/>
      <c r="X26" s="153"/>
      <c r="Y26" s="153"/>
      <c r="Z26" s="153"/>
      <c r="AA26" s="153"/>
      <c r="AB26" s="153"/>
    </row>
    <row r="27" ht="14.25" customHeight="1">
      <c r="A27" s="81"/>
      <c r="B27" s="82" t="s">
        <v>150</v>
      </c>
      <c r="C27" s="50"/>
      <c r="D27" s="50"/>
      <c r="E27" s="50"/>
      <c r="F27" s="50"/>
      <c r="G27" s="50"/>
      <c r="H27" s="50"/>
      <c r="I27" s="50"/>
      <c r="J27" s="51"/>
      <c r="K27" s="83"/>
      <c r="U27" s="153"/>
      <c r="V27" s="153"/>
      <c r="W27" s="153"/>
      <c r="X27" s="153"/>
      <c r="Y27" s="153"/>
      <c r="Z27" s="153"/>
      <c r="AA27" s="153"/>
      <c r="AB27" s="153"/>
    </row>
    <row r="28" ht="14.25" customHeight="1">
      <c r="A28" s="81" t="s">
        <v>52</v>
      </c>
      <c r="B28" s="81"/>
      <c r="C28" s="89">
        <v>28.0</v>
      </c>
      <c r="D28" s="89">
        <v>30.0</v>
      </c>
      <c r="E28" s="89">
        <v>32.0</v>
      </c>
      <c r="F28" s="89">
        <v>34.0</v>
      </c>
      <c r="G28" s="89">
        <v>36.0</v>
      </c>
      <c r="H28" s="89">
        <v>38.0</v>
      </c>
      <c r="I28" s="89">
        <v>40.0</v>
      </c>
      <c r="J28" s="89"/>
      <c r="K28" s="90"/>
      <c r="L28" s="83"/>
      <c r="U28" s="153"/>
      <c r="V28" s="153"/>
      <c r="W28" s="153"/>
      <c r="X28" s="153"/>
      <c r="Y28" s="153"/>
      <c r="Z28" s="153"/>
      <c r="AA28" s="153"/>
      <c r="AB28" s="153"/>
    </row>
    <row r="29" ht="14.25" customHeight="1">
      <c r="A29" s="81"/>
      <c r="B29" s="112" t="s">
        <v>149</v>
      </c>
      <c r="C29" s="112" t="s">
        <v>4</v>
      </c>
      <c r="D29" s="112" t="s">
        <v>53</v>
      </c>
      <c r="E29" s="112" t="s">
        <v>54</v>
      </c>
      <c r="F29" s="112" t="s">
        <v>55</v>
      </c>
      <c r="G29" s="112" t="s">
        <v>56</v>
      </c>
      <c r="H29" s="112" t="s">
        <v>9</v>
      </c>
      <c r="I29" s="112" t="s">
        <v>10</v>
      </c>
      <c r="J29" s="112" t="s">
        <v>11</v>
      </c>
      <c r="K29" s="85" t="s">
        <v>12</v>
      </c>
      <c r="L29" s="134" t="s">
        <v>49</v>
      </c>
      <c r="U29" s="153"/>
      <c r="V29" s="153"/>
      <c r="W29" s="153"/>
      <c r="X29" s="153"/>
      <c r="Y29" s="153"/>
      <c r="Z29" s="153"/>
      <c r="AA29" s="153"/>
      <c r="AB29" s="153"/>
    </row>
    <row r="30" ht="14.25" customHeight="1">
      <c r="A30" s="106" t="s">
        <v>22</v>
      </c>
      <c r="B30" s="171">
        <f t="shared" ref="B30:B31" si="10">3</f>
        <v>3</v>
      </c>
      <c r="C30" s="105">
        <f>0+1+3-1</f>
        <v>3</v>
      </c>
      <c r="D30" s="105">
        <f>0+1+3-1-1</f>
        <v>2</v>
      </c>
      <c r="E30" s="105">
        <f>0+1+3-1-1+1-1+1+1</f>
        <v>4</v>
      </c>
      <c r="F30" s="89">
        <f>0+3-1-1</f>
        <v>1</v>
      </c>
      <c r="G30" s="105">
        <f>0+1+3</f>
        <v>4</v>
      </c>
      <c r="H30" s="89">
        <f t="shared" ref="H30:J30" si="9">0+1</f>
        <v>1</v>
      </c>
      <c r="I30" s="89">
        <f t="shared" si="9"/>
        <v>1</v>
      </c>
      <c r="J30" s="89">
        <f t="shared" si="9"/>
        <v>1</v>
      </c>
      <c r="K30" s="89">
        <f t="shared" ref="K30:K31" si="11">0</f>
        <v>0</v>
      </c>
      <c r="L30" s="161">
        <f t="shared" ref="L30:L31" si="12">SUM(C30:K30)</f>
        <v>17</v>
      </c>
      <c r="U30" s="153"/>
      <c r="V30" s="153"/>
      <c r="W30" s="153"/>
      <c r="X30" s="153"/>
      <c r="Y30" s="153"/>
      <c r="Z30" s="153"/>
      <c r="AA30" s="153"/>
      <c r="AB30" s="153"/>
    </row>
    <row r="31" ht="14.25" customHeight="1">
      <c r="A31" s="84" t="s">
        <v>27</v>
      </c>
      <c r="B31" s="105">
        <f t="shared" si="10"/>
        <v>3</v>
      </c>
      <c r="C31" s="89">
        <f>0+3-1</f>
        <v>2</v>
      </c>
      <c r="D31" s="105">
        <f>0+2+3-1+1</f>
        <v>5</v>
      </c>
      <c r="E31" s="89">
        <f>0+3-1-1</f>
        <v>1</v>
      </c>
      <c r="F31" s="89">
        <f>0+3-1</f>
        <v>2</v>
      </c>
      <c r="G31" s="105">
        <f>0+1+3-1+1+1-1</f>
        <v>4</v>
      </c>
      <c r="H31" s="89">
        <f>0+1</f>
        <v>1</v>
      </c>
      <c r="I31" s="89">
        <f>0+1+1</f>
        <v>2</v>
      </c>
      <c r="J31" s="89">
        <f>0+1</f>
        <v>1</v>
      </c>
      <c r="K31" s="89">
        <f t="shared" si="11"/>
        <v>0</v>
      </c>
      <c r="L31" s="161">
        <f t="shared" si="12"/>
        <v>18</v>
      </c>
      <c r="U31" s="153"/>
      <c r="V31" s="153"/>
      <c r="W31" s="153"/>
      <c r="X31" s="153"/>
      <c r="Y31" s="153"/>
      <c r="Z31" s="153"/>
      <c r="AA31" s="153"/>
      <c r="AB31" s="153"/>
    </row>
    <row r="32" ht="14.25" customHeight="1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18">
        <f>SUM(L30:L31)</f>
        <v>35</v>
      </c>
      <c r="U32" s="153"/>
      <c r="V32" s="153"/>
      <c r="W32" s="153"/>
      <c r="X32" s="153"/>
      <c r="Y32" s="153"/>
      <c r="Z32" s="153"/>
      <c r="AA32" s="153"/>
      <c r="AB32" s="153"/>
    </row>
    <row r="33" ht="14.25" customHeight="1">
      <c r="K33" s="170"/>
    </row>
    <row r="34" ht="14.25" customHeight="1">
      <c r="K34" s="124"/>
    </row>
    <row r="35" ht="14.25" customHeight="1">
      <c r="A35" s="159" t="s">
        <v>111</v>
      </c>
      <c r="B35" s="50"/>
      <c r="C35" s="50"/>
      <c r="D35" s="50"/>
      <c r="E35" s="50"/>
      <c r="F35" s="50"/>
      <c r="G35" s="50"/>
      <c r="H35" s="50"/>
      <c r="I35" s="50"/>
      <c r="J35" s="50"/>
      <c r="K35" s="51"/>
    </row>
    <row r="36" ht="14.25" customHeight="1">
      <c r="A36" s="81"/>
      <c r="B36" s="82" t="s">
        <v>151</v>
      </c>
      <c r="C36" s="50"/>
      <c r="D36" s="50"/>
      <c r="E36" s="50"/>
      <c r="F36" s="50"/>
      <c r="G36" s="50"/>
      <c r="H36" s="50"/>
      <c r="I36" s="50"/>
      <c r="J36" s="51"/>
      <c r="K36" s="83"/>
    </row>
    <row r="37" ht="14.25" customHeight="1">
      <c r="A37" s="81" t="s">
        <v>52</v>
      </c>
      <c r="B37" s="89">
        <v>28.0</v>
      </c>
      <c r="C37" s="89">
        <v>30.0</v>
      </c>
      <c r="D37" s="89">
        <v>32.0</v>
      </c>
      <c r="E37" s="89">
        <v>34.0</v>
      </c>
      <c r="F37" s="89">
        <v>36.0</v>
      </c>
      <c r="G37" s="89">
        <v>38.0</v>
      </c>
      <c r="H37" s="89">
        <v>40.0</v>
      </c>
      <c r="I37" s="89"/>
      <c r="J37" s="90"/>
      <c r="K37" s="83"/>
    </row>
    <row r="38" ht="14.25" customHeight="1">
      <c r="A38" s="81"/>
      <c r="B38" s="112" t="s">
        <v>4</v>
      </c>
      <c r="C38" s="112" t="s">
        <v>53</v>
      </c>
      <c r="D38" s="112" t="s">
        <v>54</v>
      </c>
      <c r="E38" s="112" t="s">
        <v>55</v>
      </c>
      <c r="F38" s="112" t="s">
        <v>56</v>
      </c>
      <c r="G38" s="112" t="s">
        <v>9</v>
      </c>
      <c r="H38" s="112" t="s">
        <v>10</v>
      </c>
      <c r="I38" s="112" t="s">
        <v>11</v>
      </c>
      <c r="J38" s="85" t="s">
        <v>12</v>
      </c>
      <c r="K38" s="134" t="s">
        <v>49</v>
      </c>
    </row>
    <row r="39" ht="14.25" customHeight="1">
      <c r="A39" s="106" t="s">
        <v>22</v>
      </c>
      <c r="B39" s="105">
        <f>0+1+3+1</f>
        <v>5</v>
      </c>
      <c r="C39" s="105">
        <f>0+3-3+3</f>
        <v>3</v>
      </c>
      <c r="D39" s="105">
        <f>0+2-2+2</f>
        <v>2</v>
      </c>
      <c r="E39" s="89">
        <f>0+4-2-2+2</f>
        <v>2</v>
      </c>
      <c r="F39" s="89">
        <f>0+1+3-2-1-1+1</f>
        <v>1</v>
      </c>
      <c r="G39" s="89">
        <f>0+1+1-1+1</f>
        <v>2</v>
      </c>
      <c r="H39" s="89">
        <f>0+1-1+1</f>
        <v>1</v>
      </c>
      <c r="I39" s="89">
        <f>0+1</f>
        <v>1</v>
      </c>
      <c r="J39" s="89">
        <f t="shared" ref="J39:J41" si="13">0</f>
        <v>0</v>
      </c>
      <c r="K39" s="161">
        <f t="shared" ref="K39:K41" si="14">SUM(B39:J39)</f>
        <v>17</v>
      </c>
    </row>
    <row r="40" ht="14.25" customHeight="1">
      <c r="A40" s="106" t="s">
        <v>13</v>
      </c>
      <c r="B40" s="89">
        <f>0</f>
        <v>0</v>
      </c>
      <c r="C40" s="105">
        <f>0+3</f>
        <v>3</v>
      </c>
      <c r="D40" s="105">
        <f>0+3-1+3+1-4+2+1</f>
        <v>5</v>
      </c>
      <c r="E40" s="105">
        <f>0+2+3+6-1-4-1</f>
        <v>5</v>
      </c>
      <c r="F40" s="105">
        <f>0+1+3-1-1+1</f>
        <v>3</v>
      </c>
      <c r="G40" s="89">
        <f>0+1-1+1</f>
        <v>1</v>
      </c>
      <c r="H40" s="89">
        <f>0+1</f>
        <v>1</v>
      </c>
      <c r="I40" s="89">
        <f>0+1-1+1-1+1</f>
        <v>1</v>
      </c>
      <c r="J40" s="89">
        <f t="shared" si="13"/>
        <v>0</v>
      </c>
      <c r="K40" s="161">
        <f t="shared" si="14"/>
        <v>19</v>
      </c>
    </row>
    <row r="41" ht="14.25" customHeight="1">
      <c r="A41" s="84" t="s">
        <v>27</v>
      </c>
      <c r="B41" s="105">
        <f>0+3-1+1</f>
        <v>3</v>
      </c>
      <c r="C41" s="105">
        <f>0+1+3</f>
        <v>4</v>
      </c>
      <c r="D41" s="105">
        <f>0+3-1</f>
        <v>2</v>
      </c>
      <c r="E41" s="105">
        <f>0+1-1+1+3-1-1</f>
        <v>2</v>
      </c>
      <c r="F41" s="89">
        <f>0+3-1+1-1-1-1</f>
        <v>0</v>
      </c>
      <c r="G41" s="89">
        <f t="shared" ref="G41:I41" si="15">0+1</f>
        <v>1</v>
      </c>
      <c r="H41" s="89">
        <f t="shared" si="15"/>
        <v>1</v>
      </c>
      <c r="I41" s="89">
        <f t="shared" si="15"/>
        <v>1</v>
      </c>
      <c r="J41" s="89">
        <f t="shared" si="13"/>
        <v>0</v>
      </c>
      <c r="K41" s="161">
        <f t="shared" si="14"/>
        <v>14</v>
      </c>
    </row>
    <row r="42" ht="14.25" customHeight="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18">
        <f>SUM(K39:K41)</f>
        <v>50</v>
      </c>
    </row>
    <row r="43" ht="14.25" customHeight="1">
      <c r="K43" s="124"/>
    </row>
    <row r="44" ht="14.25" customHeight="1">
      <c r="A44" s="159" t="s">
        <v>152</v>
      </c>
      <c r="B44" s="50"/>
      <c r="C44" s="50"/>
      <c r="D44" s="50"/>
      <c r="E44" s="50"/>
      <c r="F44" s="50"/>
      <c r="G44" s="50"/>
      <c r="H44" s="50"/>
      <c r="I44" s="50"/>
      <c r="J44" s="50"/>
      <c r="K44" s="51"/>
    </row>
    <row r="45" ht="14.25" customHeight="1">
      <c r="A45" s="81" t="s">
        <v>153</v>
      </c>
      <c r="B45" s="112" t="s">
        <v>4</v>
      </c>
      <c r="C45" s="112" t="s">
        <v>53</v>
      </c>
      <c r="D45" s="112" t="s">
        <v>54</v>
      </c>
      <c r="E45" s="112" t="s">
        <v>55</v>
      </c>
      <c r="F45" s="112" t="s">
        <v>56</v>
      </c>
      <c r="G45" s="112" t="s">
        <v>9</v>
      </c>
      <c r="H45" s="112" t="s">
        <v>10</v>
      </c>
      <c r="I45" s="112" t="s">
        <v>11</v>
      </c>
      <c r="J45" s="85" t="s">
        <v>12</v>
      </c>
      <c r="K45" s="134" t="s">
        <v>49</v>
      </c>
    </row>
    <row r="46" ht="14.25" customHeight="1">
      <c r="A46" s="81" t="s">
        <v>17</v>
      </c>
      <c r="B46" s="89">
        <f t="shared" ref="B46:C46" si="16">0+1+1-1</f>
        <v>1</v>
      </c>
      <c r="C46" s="89">
        <f t="shared" si="16"/>
        <v>1</v>
      </c>
      <c r="D46" s="89">
        <f t="shared" ref="D46:E46" si="17">0+1</f>
        <v>1</v>
      </c>
      <c r="E46" s="89">
        <f t="shared" si="17"/>
        <v>1</v>
      </c>
      <c r="F46" s="89">
        <f>0+1-1</f>
        <v>0</v>
      </c>
      <c r="G46" s="89">
        <f>0+1-1+1</f>
        <v>1</v>
      </c>
      <c r="H46" s="89">
        <f t="shared" ref="H46:J46" si="18">0+1</f>
        <v>1</v>
      </c>
      <c r="I46" s="89">
        <f t="shared" si="18"/>
        <v>1</v>
      </c>
      <c r="J46" s="89">
        <f t="shared" si="18"/>
        <v>1</v>
      </c>
      <c r="K46" s="89">
        <f t="shared" ref="K46:K51" si="21">SUM(B46:J46)</f>
        <v>8</v>
      </c>
    </row>
    <row r="47" ht="14.25" customHeight="1">
      <c r="A47" s="81" t="s">
        <v>43</v>
      </c>
      <c r="B47" s="89">
        <f>0+2-1</f>
        <v>1</v>
      </c>
      <c r="C47" s="89">
        <f>0+1+2-1</f>
        <v>2</v>
      </c>
      <c r="D47" s="89">
        <f t="shared" ref="D47:F47" si="19">0+2</f>
        <v>2</v>
      </c>
      <c r="E47" s="89">
        <f t="shared" si="19"/>
        <v>2</v>
      </c>
      <c r="F47" s="89">
        <f t="shared" si="19"/>
        <v>2</v>
      </c>
      <c r="G47" s="89">
        <f>0+2-1+1-1+1</f>
        <v>2</v>
      </c>
      <c r="H47" s="89">
        <f t="shared" ref="H47:J47" si="20">0+2</f>
        <v>2</v>
      </c>
      <c r="I47" s="89">
        <f t="shared" si="20"/>
        <v>2</v>
      </c>
      <c r="J47" s="89">
        <f t="shared" si="20"/>
        <v>2</v>
      </c>
      <c r="K47" s="89">
        <f t="shared" si="21"/>
        <v>17</v>
      </c>
    </row>
    <row r="48" ht="14.25" customHeight="1">
      <c r="A48" s="106" t="s">
        <v>119</v>
      </c>
      <c r="B48" s="89">
        <f>0+1+1</f>
        <v>2</v>
      </c>
      <c r="C48" s="89">
        <f>0+2+1-1+1</f>
        <v>3</v>
      </c>
      <c r="D48" s="89">
        <f>0+3+1</f>
        <v>4</v>
      </c>
      <c r="E48" s="89">
        <f t="shared" ref="E48:J48" si="22">0+1</f>
        <v>1</v>
      </c>
      <c r="F48" s="89">
        <f t="shared" si="22"/>
        <v>1</v>
      </c>
      <c r="G48" s="89">
        <f t="shared" si="22"/>
        <v>1</v>
      </c>
      <c r="H48" s="89">
        <f t="shared" si="22"/>
        <v>1</v>
      </c>
      <c r="I48" s="89">
        <f t="shared" si="22"/>
        <v>1</v>
      </c>
      <c r="J48" s="89">
        <f t="shared" si="22"/>
        <v>1</v>
      </c>
      <c r="K48" s="89">
        <f t="shared" si="21"/>
        <v>15</v>
      </c>
    </row>
    <row r="49" ht="14.25" customHeight="1">
      <c r="A49" s="84" t="s">
        <v>13</v>
      </c>
      <c r="B49" s="89">
        <f>0+1+1+2-4+4-4</f>
        <v>0</v>
      </c>
      <c r="C49" s="89">
        <f>0+1+2-1+1-3+3-3</f>
        <v>0</v>
      </c>
      <c r="D49" s="89">
        <f>0+1-1+2+1-1+1-3+3-3</f>
        <v>0</v>
      </c>
      <c r="E49" s="89">
        <f>0+1+2-1+1-1+1-3</f>
        <v>0</v>
      </c>
      <c r="F49" s="89">
        <f>0+2-1+1-2+1-1</f>
        <v>0</v>
      </c>
      <c r="G49" s="89">
        <f t="shared" ref="G49:H49" si="23">0+2-1-1</f>
        <v>0</v>
      </c>
      <c r="H49" s="89">
        <f t="shared" si="23"/>
        <v>0</v>
      </c>
      <c r="I49" s="89">
        <f t="shared" ref="I49:J49" si="24">0+2-2</f>
        <v>0</v>
      </c>
      <c r="J49" s="89">
        <f t="shared" si="24"/>
        <v>0</v>
      </c>
      <c r="K49" s="89">
        <f t="shared" si="21"/>
        <v>0</v>
      </c>
    </row>
    <row r="50" ht="14.25" customHeight="1">
      <c r="A50" s="84" t="s">
        <v>14</v>
      </c>
      <c r="B50" s="89">
        <f>0+2-1+1+1-1</f>
        <v>2</v>
      </c>
      <c r="C50" s="89">
        <f>0+2-1+1-1+1+1</f>
        <v>3</v>
      </c>
      <c r="D50" s="89">
        <f>0+1+2-1+1-3+1</f>
        <v>1</v>
      </c>
      <c r="E50" s="89">
        <f>0+1+2-1+1-1-1-1+1-1+1+1+1-1+1+1</f>
        <v>4</v>
      </c>
      <c r="F50" s="89">
        <f>0+2-1+1-1+1-1-1+1+2</f>
        <v>3</v>
      </c>
      <c r="G50" s="89">
        <f>0+1-1+1-1+1-1+1-1+1</f>
        <v>1</v>
      </c>
      <c r="H50" s="89">
        <f>0+2-1+1+1</f>
        <v>3</v>
      </c>
      <c r="I50" s="89">
        <f>0+1-1+1+1</f>
        <v>2</v>
      </c>
      <c r="J50" s="89">
        <f>0+3-1+1+1</f>
        <v>4</v>
      </c>
      <c r="K50" s="89">
        <f t="shared" si="21"/>
        <v>23</v>
      </c>
    </row>
    <row r="51" ht="14.25" customHeight="1">
      <c r="A51" s="144" t="s">
        <v>16</v>
      </c>
      <c r="B51" s="89">
        <f>0+2</f>
        <v>2</v>
      </c>
      <c r="C51" s="89">
        <f>0+2-1+1</f>
        <v>2</v>
      </c>
      <c r="D51" s="89">
        <f>0+1+2-1+1</f>
        <v>3</v>
      </c>
      <c r="E51" s="89">
        <f>0+2+1+1-1-1+1</f>
        <v>3</v>
      </c>
      <c r="F51" s="89">
        <f>0+2-1</f>
        <v>1</v>
      </c>
      <c r="G51" s="89">
        <f>0+2</f>
        <v>2</v>
      </c>
      <c r="H51" s="89">
        <f>0+1</f>
        <v>1</v>
      </c>
      <c r="I51" s="89">
        <f t="shared" ref="I51:J51" si="25">0+2</f>
        <v>2</v>
      </c>
      <c r="J51" s="89">
        <f t="shared" si="25"/>
        <v>2</v>
      </c>
      <c r="K51" s="89">
        <f t="shared" si="21"/>
        <v>18</v>
      </c>
    </row>
    <row r="52" ht="14.25" customHeight="1">
      <c r="K52" s="172">
        <f>SUM(K46:K51)</f>
        <v>81</v>
      </c>
    </row>
    <row r="53" ht="14.25" customHeight="1">
      <c r="A53" s="159" t="s">
        <v>154</v>
      </c>
      <c r="B53" s="50"/>
      <c r="C53" s="50"/>
      <c r="D53" s="50"/>
      <c r="E53" s="50"/>
      <c r="F53" s="50"/>
      <c r="G53" s="50"/>
      <c r="H53" s="50"/>
      <c r="I53" s="50"/>
      <c r="J53" s="50"/>
      <c r="K53" s="51"/>
    </row>
    <row r="54" ht="14.25" customHeight="1">
      <c r="A54" s="81" t="s">
        <v>153</v>
      </c>
      <c r="B54" s="112" t="s">
        <v>4</v>
      </c>
      <c r="C54" s="112" t="s">
        <v>53</v>
      </c>
      <c r="D54" s="112" t="s">
        <v>54</v>
      </c>
      <c r="E54" s="112" t="s">
        <v>55</v>
      </c>
      <c r="F54" s="112" t="s">
        <v>56</v>
      </c>
      <c r="G54" s="112" t="s">
        <v>9</v>
      </c>
      <c r="H54" s="112" t="s">
        <v>10</v>
      </c>
      <c r="I54" s="112" t="s">
        <v>11</v>
      </c>
      <c r="J54" s="85" t="s">
        <v>12</v>
      </c>
      <c r="K54" s="134" t="s">
        <v>49</v>
      </c>
    </row>
    <row r="55" ht="14.25" customHeight="1">
      <c r="A55" s="81" t="s">
        <v>43</v>
      </c>
      <c r="B55" s="89">
        <f>0+1+2</f>
        <v>3</v>
      </c>
      <c r="C55" s="89">
        <f>0+2-1+1-1+1</f>
        <v>2</v>
      </c>
      <c r="D55" s="89">
        <f>0+1+2</f>
        <v>3</v>
      </c>
      <c r="E55" s="89">
        <f t="shared" ref="E55:F55" si="26">0+2+1-1+1</f>
        <v>3</v>
      </c>
      <c r="F55" s="89">
        <f t="shared" si="26"/>
        <v>3</v>
      </c>
      <c r="G55" s="89">
        <f>0+2-1-1</f>
        <v>0</v>
      </c>
      <c r="H55" s="89">
        <f t="shared" ref="H55:J55" si="27">0+2</f>
        <v>2</v>
      </c>
      <c r="I55" s="89">
        <f t="shared" si="27"/>
        <v>2</v>
      </c>
      <c r="J55" s="89">
        <f t="shared" si="27"/>
        <v>2</v>
      </c>
      <c r="K55" s="89">
        <f t="shared" ref="K55:K57" si="29">SUM(B55:J55)</f>
        <v>20</v>
      </c>
    </row>
    <row r="56" ht="14.25" customHeight="1">
      <c r="A56" s="84" t="s">
        <v>13</v>
      </c>
      <c r="B56" s="89">
        <f>0+2+2-1-1-2+3+1-1+1-1-1</f>
        <v>2</v>
      </c>
      <c r="C56" s="89">
        <f>0+3+2-1-1+1-1+1-2+1-1+1+2</f>
        <v>5</v>
      </c>
      <c r="D56" s="89">
        <f>0+2+2-1-1+1-1+1-3+1+1-1-1+1+1+6</f>
        <v>8</v>
      </c>
      <c r="E56" s="89">
        <f>0+2-1-1+1+1-1-1+2+1+1</f>
        <v>4</v>
      </c>
      <c r="F56" s="89">
        <f>0+1+2-1+1-2+1+1-1+3</f>
        <v>5</v>
      </c>
      <c r="G56" s="89">
        <f>0+2+2-2-1+2-1+1</f>
        <v>3</v>
      </c>
      <c r="H56" s="89">
        <f t="shared" ref="H56:J56" si="28">0+2</f>
        <v>2</v>
      </c>
      <c r="I56" s="89">
        <f t="shared" si="28"/>
        <v>2</v>
      </c>
      <c r="J56" s="89">
        <f t="shared" si="28"/>
        <v>2</v>
      </c>
      <c r="K56" s="89">
        <f t="shared" si="29"/>
        <v>33</v>
      </c>
    </row>
    <row r="57" ht="14.25" customHeight="1">
      <c r="A57" s="84" t="s">
        <v>14</v>
      </c>
      <c r="B57" s="89">
        <f>0+1+2-1-1</f>
        <v>1</v>
      </c>
      <c r="C57" s="89">
        <f>0+1+2+1+1-1-1</f>
        <v>3</v>
      </c>
      <c r="D57" s="89">
        <f>0+1+2-1+3+1+1-6+1-1</f>
        <v>1</v>
      </c>
      <c r="E57" s="89">
        <f>0+2+1-1-1</f>
        <v>1</v>
      </c>
      <c r="F57" s="89">
        <f>0+1+2-2+1-1</f>
        <v>1</v>
      </c>
      <c r="G57" s="89">
        <f>0+2-1</f>
        <v>1</v>
      </c>
      <c r="H57" s="89">
        <f>0+2-2+2-1</f>
        <v>1</v>
      </c>
      <c r="I57" s="89">
        <f>0</f>
        <v>0</v>
      </c>
      <c r="J57" s="89">
        <f>0+2-2+2</f>
        <v>2</v>
      </c>
      <c r="K57" s="89">
        <f t="shared" si="29"/>
        <v>11</v>
      </c>
    </row>
    <row r="58" ht="14.25" customHeight="1">
      <c r="K58" s="173">
        <f>SUM(K55:K57)</f>
        <v>64</v>
      </c>
    </row>
    <row r="59" ht="14.25" customHeight="1"/>
    <row r="60" ht="14.25" customHeight="1">
      <c r="A60" s="159" t="s">
        <v>155</v>
      </c>
      <c r="B60" s="50"/>
      <c r="C60" s="50"/>
      <c r="D60" s="50"/>
      <c r="E60" s="50"/>
      <c r="F60" s="50"/>
      <c r="G60" s="50"/>
      <c r="H60" s="50"/>
      <c r="I60" s="50"/>
      <c r="J60" s="50"/>
      <c r="K60" s="51"/>
    </row>
    <row r="61" ht="14.25" customHeight="1">
      <c r="A61" s="81" t="s">
        <v>153</v>
      </c>
      <c r="B61" s="112" t="s">
        <v>4</v>
      </c>
      <c r="C61" s="112" t="s">
        <v>53</v>
      </c>
      <c r="D61" s="112" t="s">
        <v>54</v>
      </c>
      <c r="E61" s="112" t="s">
        <v>55</v>
      </c>
      <c r="F61" s="112" t="s">
        <v>56</v>
      </c>
      <c r="G61" s="112" t="s">
        <v>9</v>
      </c>
      <c r="H61" s="112" t="s">
        <v>10</v>
      </c>
      <c r="I61" s="112" t="s">
        <v>11</v>
      </c>
      <c r="J61" s="85" t="s">
        <v>12</v>
      </c>
      <c r="K61" s="134" t="s">
        <v>49</v>
      </c>
    </row>
    <row r="62" ht="18.75" customHeight="1">
      <c r="A62" s="84" t="s">
        <v>13</v>
      </c>
      <c r="B62" s="89">
        <f>0+2</f>
        <v>2</v>
      </c>
      <c r="C62" s="89">
        <f>0+1-1+1+2-1+1-2+2-2+2-3+1+1-2+1-1+1-1+1</f>
        <v>1</v>
      </c>
      <c r="D62" s="89">
        <f>0+2-1+1-2+2-1-1+1-1+1-1+1-1+1-1+1-1+1-1</f>
        <v>0</v>
      </c>
      <c r="E62" s="89">
        <f>0+2-1+1+1-1-1+1-2+2-1-1+1-1+1-1+1-1+1-1+1-1+1</f>
        <v>1</v>
      </c>
      <c r="F62" s="89">
        <f>0+2-1-1</f>
        <v>0</v>
      </c>
      <c r="G62" s="89">
        <f>0+2-1-1+1-1+1+1-1-1+1-1+1</f>
        <v>1</v>
      </c>
      <c r="H62" s="89">
        <f>0+2-1+1+1-1</f>
        <v>2</v>
      </c>
      <c r="I62" s="89">
        <f t="shared" ref="I62:J62" si="30">0+2</f>
        <v>2</v>
      </c>
      <c r="J62" s="89">
        <f t="shared" si="30"/>
        <v>2</v>
      </c>
      <c r="K62" s="105">
        <f t="shared" ref="K62:K67" si="32">SUM(B62:J62)</f>
        <v>11</v>
      </c>
    </row>
    <row r="63" ht="18.75" customHeight="1">
      <c r="A63" s="84" t="s">
        <v>156</v>
      </c>
      <c r="B63" s="89">
        <f>0+1</f>
        <v>1</v>
      </c>
      <c r="C63" s="89">
        <f>0+1-1+1</f>
        <v>1</v>
      </c>
      <c r="D63" s="89">
        <f>0+1-1+1</f>
        <v>1</v>
      </c>
      <c r="E63" s="89">
        <f>0+1-1+1-1+1</f>
        <v>1</v>
      </c>
      <c r="F63" s="89">
        <f>0+1-1+1-1+1-1+1</f>
        <v>1</v>
      </c>
      <c r="G63" s="89">
        <f>0+1-1+1</f>
        <v>1</v>
      </c>
      <c r="H63" s="89">
        <f t="shared" ref="H63:J63" si="31">0+1</f>
        <v>1</v>
      </c>
      <c r="I63" s="89">
        <f t="shared" si="31"/>
        <v>1</v>
      </c>
      <c r="J63" s="89">
        <f t="shared" si="31"/>
        <v>1</v>
      </c>
      <c r="K63" s="105">
        <f t="shared" si="32"/>
        <v>9</v>
      </c>
    </row>
    <row r="64" ht="14.25" customHeight="1">
      <c r="A64" s="84" t="s">
        <v>157</v>
      </c>
      <c r="B64" s="89">
        <f t="shared" ref="B64:B65" si="33">0+2</f>
        <v>2</v>
      </c>
      <c r="C64" s="89">
        <f>0+2+1-1+1</f>
        <v>3</v>
      </c>
      <c r="D64" s="89">
        <f>0+1-1+2+1-1</f>
        <v>2</v>
      </c>
      <c r="E64" s="89">
        <f>0+2-1+1-1+1-1+1</f>
        <v>2</v>
      </c>
      <c r="F64" s="89">
        <f>0+2</f>
        <v>2</v>
      </c>
      <c r="G64" s="89">
        <f>0+2</f>
        <v>2</v>
      </c>
      <c r="H64" s="89">
        <f>0+2-1+1</f>
        <v>2</v>
      </c>
      <c r="I64" s="89">
        <f>0+2-1</f>
        <v>1</v>
      </c>
      <c r="J64" s="89">
        <f t="shared" ref="J64:J65" si="35">0+2</f>
        <v>2</v>
      </c>
      <c r="K64" s="105">
        <f t="shared" si="32"/>
        <v>18</v>
      </c>
    </row>
    <row r="65" ht="14.25" customHeight="1">
      <c r="A65" s="84" t="s">
        <v>14</v>
      </c>
      <c r="B65" s="89">
        <f t="shared" si="33"/>
        <v>2</v>
      </c>
      <c r="C65" s="105">
        <f>0+2-2+1+2</f>
        <v>3</v>
      </c>
      <c r="D65" s="89">
        <f>0+2-1+1-1+1-1+1-2+2</f>
        <v>2</v>
      </c>
      <c r="E65" s="89">
        <f t="shared" ref="E65:F65" si="34">0+2-1+1-1+1</f>
        <v>2</v>
      </c>
      <c r="F65" s="89">
        <f t="shared" si="34"/>
        <v>2</v>
      </c>
      <c r="G65" s="89">
        <f>0+2-2+2-1+1</f>
        <v>2</v>
      </c>
      <c r="H65" s="89">
        <f>0+2</f>
        <v>2</v>
      </c>
      <c r="I65" s="89">
        <f>0+2-1+1</f>
        <v>2</v>
      </c>
      <c r="J65" s="89">
        <f t="shared" si="35"/>
        <v>2</v>
      </c>
      <c r="K65" s="105">
        <f t="shared" si="32"/>
        <v>19</v>
      </c>
    </row>
    <row r="66" ht="14.25" customHeight="1">
      <c r="A66" s="84" t="s">
        <v>57</v>
      </c>
      <c r="B66" s="89">
        <f>0</f>
        <v>0</v>
      </c>
      <c r="C66" s="89">
        <f>0+1</f>
        <v>1</v>
      </c>
      <c r="D66" s="89">
        <f>0+1-1+1-1+1-1+1</f>
        <v>1</v>
      </c>
      <c r="E66" s="89">
        <f>0+1-1+1+1-1-1+1+1-1+1</f>
        <v>2</v>
      </c>
      <c r="F66" s="89">
        <f>0+1+1</f>
        <v>2</v>
      </c>
      <c r="G66" s="89">
        <f t="shared" ref="G66:H66" si="36">0</f>
        <v>0</v>
      </c>
      <c r="H66" s="89">
        <f t="shared" si="36"/>
        <v>0</v>
      </c>
      <c r="I66" s="89">
        <f>0+1</f>
        <v>1</v>
      </c>
      <c r="J66" s="89">
        <f>0+1</f>
        <v>1</v>
      </c>
      <c r="K66" s="105">
        <f t="shared" si="32"/>
        <v>8</v>
      </c>
    </row>
    <row r="67" ht="14.25" customHeight="1">
      <c r="A67" s="174" t="s">
        <v>17</v>
      </c>
      <c r="B67" s="89">
        <f>2+1</f>
        <v>3</v>
      </c>
      <c r="C67" s="89">
        <f>0+1-1</f>
        <v>0</v>
      </c>
      <c r="D67" s="89">
        <f>0+1-1+1+1-1+1-1</f>
        <v>1</v>
      </c>
      <c r="E67" s="89">
        <f>0+1-1+1-1+1</f>
        <v>1</v>
      </c>
      <c r="F67" s="89">
        <f>0+1-1+2-1</f>
        <v>1</v>
      </c>
      <c r="G67" s="89">
        <f t="shared" ref="G67:I67" si="37">0+1</f>
        <v>1</v>
      </c>
      <c r="H67" s="89">
        <f t="shared" si="37"/>
        <v>1</v>
      </c>
      <c r="I67" s="89">
        <f t="shared" si="37"/>
        <v>1</v>
      </c>
      <c r="J67" s="89">
        <f>0</f>
        <v>0</v>
      </c>
      <c r="K67" s="105">
        <f t="shared" si="32"/>
        <v>9</v>
      </c>
    </row>
    <row r="68" ht="14.25" customHeight="1">
      <c r="K68" s="175">
        <f>SUM(K62:K67)</f>
        <v>74</v>
      </c>
    </row>
    <row r="69" ht="14.25" customHeight="1"/>
    <row r="70" ht="14.25" customHeight="1">
      <c r="A70" s="159" t="s">
        <v>158</v>
      </c>
      <c r="B70" s="50"/>
      <c r="C70" s="50"/>
      <c r="D70" s="50"/>
      <c r="E70" s="50"/>
      <c r="F70" s="50"/>
      <c r="G70" s="50"/>
      <c r="H70" s="50"/>
      <c r="I70" s="50"/>
      <c r="J70" s="50"/>
      <c r="K70" s="51"/>
    </row>
    <row r="71" ht="14.25" customHeight="1">
      <c r="A71" s="81" t="s">
        <v>153</v>
      </c>
      <c r="B71" s="112" t="s">
        <v>4</v>
      </c>
      <c r="C71" s="112" t="s">
        <v>53</v>
      </c>
      <c r="D71" s="112" t="s">
        <v>54</v>
      </c>
      <c r="E71" s="112" t="s">
        <v>55</v>
      </c>
      <c r="F71" s="112" t="s">
        <v>56</v>
      </c>
      <c r="G71" s="112" t="s">
        <v>9</v>
      </c>
      <c r="H71" s="112" t="s">
        <v>10</v>
      </c>
      <c r="I71" s="112" t="s">
        <v>11</v>
      </c>
      <c r="J71" s="85" t="s">
        <v>12</v>
      </c>
      <c r="K71" s="134" t="s">
        <v>49</v>
      </c>
    </row>
    <row r="72" ht="14.25" customHeight="1">
      <c r="A72" s="84" t="s">
        <v>13</v>
      </c>
      <c r="B72" s="89">
        <f t="shared" ref="B72:C72" si="38">0</f>
        <v>0</v>
      </c>
      <c r="C72" s="89">
        <f t="shared" si="38"/>
        <v>0</v>
      </c>
      <c r="D72" s="89">
        <f>0+1+2-3+3-2+2-1+1+1-1+1-1-2+1-1+1</f>
        <v>2</v>
      </c>
      <c r="E72" s="89">
        <f>0</f>
        <v>0</v>
      </c>
      <c r="F72" s="89">
        <f>0+2</f>
        <v>2</v>
      </c>
      <c r="G72" s="89">
        <f t="shared" ref="G72:H72" si="39">0</f>
        <v>0</v>
      </c>
      <c r="H72" s="89">
        <f t="shared" si="39"/>
        <v>0</v>
      </c>
      <c r="I72" s="89">
        <f>0+1</f>
        <v>1</v>
      </c>
      <c r="J72" s="89">
        <f>0</f>
        <v>0</v>
      </c>
      <c r="K72" s="89">
        <f t="shared" ref="K72:K77" si="42">SUM(B72:J72)</f>
        <v>5</v>
      </c>
    </row>
    <row r="73" ht="14.25" customHeight="1">
      <c r="A73" s="84" t="s">
        <v>156</v>
      </c>
      <c r="B73" s="89">
        <f>0</f>
        <v>0</v>
      </c>
      <c r="C73" s="89">
        <f>0+1-1</f>
        <v>0</v>
      </c>
      <c r="D73" s="89">
        <f t="shared" ref="D73:E73" si="40">0</f>
        <v>0</v>
      </c>
      <c r="E73" s="89">
        <f t="shared" si="40"/>
        <v>0</v>
      </c>
      <c r="F73" s="89">
        <f>0+1</f>
        <v>1</v>
      </c>
      <c r="G73" s="89">
        <f t="shared" ref="G73:J73" si="41">0</f>
        <v>0</v>
      </c>
      <c r="H73" s="89">
        <f t="shared" si="41"/>
        <v>0</v>
      </c>
      <c r="I73" s="89">
        <f t="shared" si="41"/>
        <v>0</v>
      </c>
      <c r="J73" s="89">
        <f t="shared" si="41"/>
        <v>0</v>
      </c>
      <c r="K73" s="89">
        <f t="shared" si="42"/>
        <v>1</v>
      </c>
    </row>
    <row r="74" ht="14.25" customHeight="1">
      <c r="A74" s="84" t="s">
        <v>157</v>
      </c>
      <c r="B74" s="89">
        <f>0+1</f>
        <v>1</v>
      </c>
      <c r="C74" s="89">
        <f t="shared" ref="C74:D74" si="43">0</f>
        <v>0</v>
      </c>
      <c r="D74" s="89">
        <f t="shared" si="43"/>
        <v>0</v>
      </c>
      <c r="E74" s="89">
        <f>0+2-1</f>
        <v>1</v>
      </c>
      <c r="F74" s="89">
        <f t="shared" ref="F74:J74" si="44">0</f>
        <v>0</v>
      </c>
      <c r="G74" s="89">
        <f t="shared" si="44"/>
        <v>0</v>
      </c>
      <c r="H74" s="89">
        <f t="shared" si="44"/>
        <v>0</v>
      </c>
      <c r="I74" s="89">
        <f t="shared" si="44"/>
        <v>0</v>
      </c>
      <c r="J74" s="89">
        <f t="shared" si="44"/>
        <v>0</v>
      </c>
      <c r="K74" s="89">
        <f t="shared" si="42"/>
        <v>2</v>
      </c>
    </row>
    <row r="75" ht="14.25" customHeight="1">
      <c r="A75" s="84" t="s">
        <v>14</v>
      </c>
      <c r="B75" s="89">
        <f>0</f>
        <v>0</v>
      </c>
      <c r="C75" s="89">
        <f>0+1-1+1</f>
        <v>1</v>
      </c>
      <c r="D75" s="89">
        <f>0+1-1</f>
        <v>0</v>
      </c>
      <c r="E75" s="89">
        <f>0+1</f>
        <v>1</v>
      </c>
      <c r="F75" s="89">
        <f>0+3</f>
        <v>3</v>
      </c>
      <c r="G75" s="89">
        <f>0+2-1+1</f>
        <v>2</v>
      </c>
      <c r="H75" s="89">
        <f t="shared" ref="H75:J75" si="45">0</f>
        <v>0</v>
      </c>
      <c r="I75" s="89">
        <f t="shared" si="45"/>
        <v>0</v>
      </c>
      <c r="J75" s="89">
        <f t="shared" si="45"/>
        <v>0</v>
      </c>
      <c r="K75" s="89">
        <f t="shared" si="42"/>
        <v>7</v>
      </c>
    </row>
    <row r="76" ht="14.25" customHeight="1">
      <c r="A76" s="84" t="s">
        <v>57</v>
      </c>
      <c r="B76" s="89">
        <f>0+2-2+2</f>
        <v>2</v>
      </c>
      <c r="C76" s="89">
        <f>0+1+1-1-1+1-1</f>
        <v>0</v>
      </c>
      <c r="D76" s="89">
        <f t="shared" ref="D76:F76" si="46">0</f>
        <v>0</v>
      </c>
      <c r="E76" s="89">
        <f t="shared" si="46"/>
        <v>0</v>
      </c>
      <c r="F76" s="89">
        <f t="shared" si="46"/>
        <v>0</v>
      </c>
      <c r="G76" s="89">
        <f>0</f>
        <v>0</v>
      </c>
      <c r="H76" s="89">
        <f t="shared" ref="H76:J76" si="47">0</f>
        <v>0</v>
      </c>
      <c r="I76" s="89">
        <f t="shared" si="47"/>
        <v>0</v>
      </c>
      <c r="J76" s="89">
        <f t="shared" si="47"/>
        <v>0</v>
      </c>
      <c r="K76" s="89">
        <f t="shared" si="42"/>
        <v>2</v>
      </c>
    </row>
    <row r="77" ht="14.25" customHeight="1">
      <c r="A77" s="174" t="s">
        <v>17</v>
      </c>
      <c r="B77" s="89">
        <f>0+1</f>
        <v>1</v>
      </c>
      <c r="C77" s="89">
        <f>0+1-1+1</f>
        <v>1</v>
      </c>
      <c r="D77" s="89">
        <f>0</f>
        <v>0</v>
      </c>
      <c r="E77" s="89">
        <f>0+1-1+1</f>
        <v>1</v>
      </c>
      <c r="F77" s="89">
        <f>0</f>
        <v>0</v>
      </c>
      <c r="G77" s="89">
        <f t="shared" ref="G77:J77" si="48">0</f>
        <v>0</v>
      </c>
      <c r="H77" s="89">
        <f t="shared" si="48"/>
        <v>0</v>
      </c>
      <c r="I77" s="89">
        <f t="shared" si="48"/>
        <v>0</v>
      </c>
      <c r="J77" s="89">
        <f t="shared" si="48"/>
        <v>0</v>
      </c>
      <c r="K77" s="89">
        <f t="shared" si="42"/>
        <v>3</v>
      </c>
    </row>
    <row r="78" ht="14.25" customHeight="1">
      <c r="K78" s="175">
        <f>SUM(K72:K77)</f>
        <v>20</v>
      </c>
    </row>
    <row r="79" ht="14.25" customHeight="1">
      <c r="J79" s="120" t="s">
        <v>38</v>
      </c>
    </row>
    <row r="80" ht="14.25" customHeight="1">
      <c r="A80" s="159" t="s">
        <v>159</v>
      </c>
      <c r="B80" s="50"/>
      <c r="C80" s="50"/>
      <c r="D80" s="50"/>
      <c r="E80" s="50"/>
      <c r="F80" s="50"/>
      <c r="G80" s="50"/>
      <c r="H80" s="50"/>
      <c r="I80" s="50"/>
      <c r="J80" s="50"/>
      <c r="K80" s="51"/>
    </row>
    <row r="81" ht="14.25" customHeight="1">
      <c r="A81" s="112" t="s">
        <v>153</v>
      </c>
      <c r="B81" s="112" t="s">
        <v>4</v>
      </c>
      <c r="C81" s="112" t="s">
        <v>53</v>
      </c>
      <c r="D81" s="112" t="s">
        <v>54</v>
      </c>
      <c r="E81" s="112" t="s">
        <v>55</v>
      </c>
      <c r="F81" s="112" t="s">
        <v>56</v>
      </c>
      <c r="G81" s="112" t="s">
        <v>9</v>
      </c>
      <c r="H81" s="112" t="s">
        <v>10</v>
      </c>
      <c r="I81" s="112" t="s">
        <v>11</v>
      </c>
      <c r="J81" s="85" t="s">
        <v>12</v>
      </c>
      <c r="K81" s="134" t="s">
        <v>49</v>
      </c>
    </row>
    <row r="82" ht="14.25" customHeight="1">
      <c r="A82" s="84" t="s">
        <v>13</v>
      </c>
      <c r="B82" s="89">
        <f>0+2-1+1-1+1-1</f>
        <v>1</v>
      </c>
      <c r="C82" s="89">
        <f>0+2-2+1+1-1+1</f>
        <v>2</v>
      </c>
      <c r="D82" s="89">
        <f>0+2-1+1-1+1-1+1-1+1</f>
        <v>2</v>
      </c>
      <c r="E82" s="89">
        <f>0+1+2-1-1+1-1+1+1-1-1</f>
        <v>1</v>
      </c>
      <c r="F82" s="89">
        <f>0+2-1-1+1+1-2+3+1</f>
        <v>4</v>
      </c>
      <c r="G82" s="89">
        <f>0+2-1-1+1+1-2+2</f>
        <v>2</v>
      </c>
      <c r="H82" s="89">
        <f>0+2-1+1-1</f>
        <v>1</v>
      </c>
      <c r="I82" s="89">
        <f>0+2-1</f>
        <v>1</v>
      </c>
      <c r="J82" s="89">
        <f>0+2-1+1</f>
        <v>2</v>
      </c>
      <c r="K82" s="105">
        <f t="shared" ref="K82:K87" si="50">SUM(B82:J82)</f>
        <v>16</v>
      </c>
    </row>
    <row r="83" ht="14.25" customHeight="1">
      <c r="A83" s="84" t="s">
        <v>156</v>
      </c>
      <c r="B83" s="89">
        <f>0+1+1-1</f>
        <v>1</v>
      </c>
      <c r="C83" s="89">
        <f>0+1+1-1+1+1</f>
        <v>3</v>
      </c>
      <c r="D83" s="89">
        <f>0+1+1</f>
        <v>2</v>
      </c>
      <c r="E83" s="89">
        <f>0+1-1+1+1</f>
        <v>2</v>
      </c>
      <c r="F83" s="89">
        <f>0+1</f>
        <v>1</v>
      </c>
      <c r="G83" s="89">
        <f>0+1-1</f>
        <v>0</v>
      </c>
      <c r="H83" s="89">
        <f>0+1-1+1-1+1</f>
        <v>1</v>
      </c>
      <c r="I83" s="89">
        <f t="shared" ref="I83:J83" si="49">0+1</f>
        <v>1</v>
      </c>
      <c r="J83" s="89">
        <f t="shared" si="49"/>
        <v>1</v>
      </c>
      <c r="K83" s="105">
        <f t="shared" si="50"/>
        <v>12</v>
      </c>
    </row>
    <row r="84" ht="14.25" customHeight="1">
      <c r="A84" s="84" t="s">
        <v>157</v>
      </c>
      <c r="B84" s="89">
        <f t="shared" ref="B84:B85" si="52">0+2</f>
        <v>2</v>
      </c>
      <c r="C84" s="89">
        <f>0+1+2</f>
        <v>3</v>
      </c>
      <c r="D84" s="89">
        <f>0+2-1+1+1</f>
        <v>3</v>
      </c>
      <c r="E84" s="89">
        <f>0+1+2</f>
        <v>3</v>
      </c>
      <c r="F84" s="89">
        <f>0+2-1+1-1+1</f>
        <v>2</v>
      </c>
      <c r="G84" s="89">
        <f>0+2+1+1</f>
        <v>4</v>
      </c>
      <c r="H84" s="89">
        <f t="shared" ref="H84:J84" si="51">0+2</f>
        <v>2</v>
      </c>
      <c r="I84" s="89">
        <f t="shared" si="51"/>
        <v>2</v>
      </c>
      <c r="J84" s="89">
        <f t="shared" si="51"/>
        <v>2</v>
      </c>
      <c r="K84" s="105">
        <f t="shared" si="50"/>
        <v>23</v>
      </c>
    </row>
    <row r="85" ht="14.25" customHeight="1">
      <c r="A85" s="84" t="s">
        <v>14</v>
      </c>
      <c r="B85" s="89">
        <f t="shared" si="52"/>
        <v>2</v>
      </c>
      <c r="C85" s="89">
        <f>0+2</f>
        <v>2</v>
      </c>
      <c r="D85" s="89">
        <f>0+5+1-1+1+2+1-1+1</f>
        <v>9</v>
      </c>
      <c r="E85" s="89">
        <f>0+2-2+3</f>
        <v>3</v>
      </c>
      <c r="F85" s="89">
        <f>0+2+2-1</f>
        <v>3</v>
      </c>
      <c r="G85" s="89">
        <f>0+1-1+2-1</f>
        <v>1</v>
      </c>
      <c r="H85" s="89">
        <f>0+1+2-1-1+1+1</f>
        <v>3</v>
      </c>
      <c r="I85" s="89">
        <f>0+1</f>
        <v>1</v>
      </c>
      <c r="J85" s="89">
        <f t="shared" ref="J85:J86" si="54">0</f>
        <v>0</v>
      </c>
      <c r="K85" s="89">
        <f t="shared" si="50"/>
        <v>24</v>
      </c>
    </row>
    <row r="86" ht="14.25" customHeight="1">
      <c r="A86" s="84" t="s">
        <v>57</v>
      </c>
      <c r="B86" s="89">
        <f>0+2+1-3+3</f>
        <v>3</v>
      </c>
      <c r="C86" s="89">
        <f t="shared" ref="C86:C87" si="55">0+1</f>
        <v>1</v>
      </c>
      <c r="D86" s="89">
        <f>0+1-1+1</f>
        <v>1</v>
      </c>
      <c r="E86" s="89">
        <f>0+1+1-2+2</f>
        <v>2</v>
      </c>
      <c r="F86" s="89">
        <f t="shared" ref="F86:G86" si="53">0+1</f>
        <v>1</v>
      </c>
      <c r="G86" s="89">
        <f t="shared" si="53"/>
        <v>1</v>
      </c>
      <c r="H86" s="89">
        <f>0+1-1+1</f>
        <v>1</v>
      </c>
      <c r="I86" s="89">
        <f>0+1</f>
        <v>1</v>
      </c>
      <c r="J86" s="89">
        <f t="shared" si="54"/>
        <v>0</v>
      </c>
      <c r="K86" s="105">
        <f t="shared" si="50"/>
        <v>11</v>
      </c>
    </row>
    <row r="87" ht="14.25" customHeight="1">
      <c r="A87" s="174" t="s">
        <v>17</v>
      </c>
      <c r="B87" s="89">
        <f>0+1+1-1+1</f>
        <v>2</v>
      </c>
      <c r="C87" s="89">
        <f t="shared" si="55"/>
        <v>1</v>
      </c>
      <c r="D87" s="89">
        <f>0+1-1+1-1+1</f>
        <v>1</v>
      </c>
      <c r="E87" s="89">
        <f>0+1-1+1-1+1+1-1-1+2</f>
        <v>2</v>
      </c>
      <c r="F87" s="89">
        <f>0+1-1+1-1</f>
        <v>0</v>
      </c>
      <c r="G87" s="89">
        <f>0+1-1+1+1</f>
        <v>2</v>
      </c>
      <c r="H87" s="89">
        <f>0+1</f>
        <v>1</v>
      </c>
      <c r="I87" s="89">
        <f t="shared" ref="I87:J87" si="56">0</f>
        <v>0</v>
      </c>
      <c r="J87" s="89">
        <f t="shared" si="56"/>
        <v>0</v>
      </c>
      <c r="K87" s="105">
        <f t="shared" si="50"/>
        <v>9</v>
      </c>
    </row>
    <row r="88" ht="14.25" customHeight="1">
      <c r="K88" s="175">
        <f>SUM(K82:K87)</f>
        <v>95</v>
      </c>
    </row>
    <row r="89" ht="14.25" customHeight="1"/>
    <row r="90" ht="14.25" customHeight="1"/>
    <row r="91" ht="14.25" customHeight="1"/>
    <row r="92" ht="14.25" customHeight="1"/>
    <row r="93" ht="14.25" customHeight="1">
      <c r="A93" s="76" t="s">
        <v>160</v>
      </c>
      <c r="B93" s="50"/>
      <c r="C93" s="50"/>
      <c r="D93" s="50"/>
      <c r="E93" s="50"/>
      <c r="F93" s="50"/>
      <c r="G93" s="50"/>
      <c r="H93" s="50"/>
      <c r="I93" s="50"/>
      <c r="J93" s="50"/>
      <c r="K93" s="77"/>
    </row>
    <row r="94" ht="14.25" customHeight="1">
      <c r="A94" s="107"/>
      <c r="B94" s="82" t="s">
        <v>42</v>
      </c>
      <c r="C94" s="50"/>
      <c r="D94" s="50"/>
      <c r="E94" s="50"/>
      <c r="F94" s="50"/>
      <c r="G94" s="50"/>
      <c r="H94" s="50"/>
      <c r="I94" s="50"/>
      <c r="J94" s="51"/>
      <c r="K94" s="87"/>
    </row>
    <row r="95" ht="14.25" customHeight="1">
      <c r="A95" s="84" t="s">
        <v>52</v>
      </c>
      <c r="B95" s="89">
        <v>28.0</v>
      </c>
      <c r="C95" s="89">
        <v>30.0</v>
      </c>
      <c r="D95" s="89">
        <v>32.0</v>
      </c>
      <c r="E95" s="89">
        <v>34.0</v>
      </c>
      <c r="F95" s="89">
        <v>36.0</v>
      </c>
      <c r="G95" s="89">
        <v>38.0</v>
      </c>
      <c r="H95" s="89">
        <v>40.0</v>
      </c>
      <c r="I95" s="89"/>
      <c r="J95" s="89"/>
      <c r="K95" s="87"/>
    </row>
    <row r="96" ht="14.25" customHeight="1">
      <c r="A96" s="84"/>
      <c r="B96" s="112" t="s">
        <v>4</v>
      </c>
      <c r="C96" s="112" t="s">
        <v>53</v>
      </c>
      <c r="D96" s="112" t="s">
        <v>54</v>
      </c>
      <c r="E96" s="112" t="s">
        <v>55</v>
      </c>
      <c r="F96" s="112" t="s">
        <v>56</v>
      </c>
      <c r="G96" s="112" t="s">
        <v>9</v>
      </c>
      <c r="H96" s="112" t="s">
        <v>10</v>
      </c>
      <c r="I96" s="112" t="s">
        <v>11</v>
      </c>
      <c r="J96" s="112" t="s">
        <v>12</v>
      </c>
      <c r="K96" s="113" t="s">
        <v>49</v>
      </c>
    </row>
    <row r="97" ht="14.25" customHeight="1">
      <c r="A97" s="84" t="s">
        <v>161</v>
      </c>
      <c r="B97" s="140">
        <f>0+1+2-1</f>
        <v>2</v>
      </c>
      <c r="C97" s="140">
        <f>0+2-2</f>
        <v>0</v>
      </c>
      <c r="D97" s="140">
        <f>0+1+1-2+1</f>
        <v>1</v>
      </c>
      <c r="E97" s="140">
        <f>0+2-1+1+1+2-4-1</f>
        <v>0</v>
      </c>
      <c r="F97" s="140">
        <f>0+2-1+1-2+6-2-1+1-1+1-2+2</f>
        <v>4</v>
      </c>
      <c r="G97" s="140">
        <f>0+1+2-3</f>
        <v>0</v>
      </c>
      <c r="H97" s="140">
        <f>0+2-1</f>
        <v>1</v>
      </c>
      <c r="I97" s="140">
        <f t="shared" ref="I97:J97" si="57">0</f>
        <v>0</v>
      </c>
      <c r="J97" s="140">
        <f t="shared" si="57"/>
        <v>0</v>
      </c>
      <c r="K97" s="140">
        <f t="shared" ref="K97:K103" si="59">SUM(B97:J97)</f>
        <v>8</v>
      </c>
    </row>
    <row r="98" ht="14.25" customHeight="1">
      <c r="A98" s="84" t="s">
        <v>162</v>
      </c>
      <c r="B98" s="140">
        <f>0</f>
        <v>0</v>
      </c>
      <c r="C98" s="140">
        <f>0+3-1-1-1+1-1</f>
        <v>0</v>
      </c>
      <c r="D98" s="140">
        <f>0+2-1-1+1+1-1</f>
        <v>1</v>
      </c>
      <c r="E98" s="140">
        <f>0+3+1-1-1+1-1+1-1+2-2+2</f>
        <v>4</v>
      </c>
      <c r="F98" s="140">
        <f>0+2-1+1+1-1+1-1-1-1+1-1+1</f>
        <v>1</v>
      </c>
      <c r="G98" s="140">
        <f>0</f>
        <v>0</v>
      </c>
      <c r="H98" s="140">
        <f>0+1+1</f>
        <v>2</v>
      </c>
      <c r="I98" s="140">
        <f t="shared" ref="I98:J98" si="58">0</f>
        <v>0</v>
      </c>
      <c r="J98" s="140">
        <f t="shared" si="58"/>
        <v>0</v>
      </c>
      <c r="K98" s="140">
        <f t="shared" si="59"/>
        <v>8</v>
      </c>
    </row>
    <row r="99" ht="14.25" customHeight="1">
      <c r="A99" s="84" t="s">
        <v>163</v>
      </c>
      <c r="B99" s="140">
        <f>0+2+2-1-1+1+1+1+1-1</f>
        <v>5</v>
      </c>
      <c r="C99" s="140">
        <f>0+2+2-1+1+1</f>
        <v>5</v>
      </c>
      <c r="D99" s="140">
        <f>0+3+2-1-1+1+1-1-1-1-1+1+1-1-2+2-1-1</f>
        <v>0</v>
      </c>
      <c r="E99" s="140">
        <f>0+2-1-1+1+1+1-1+1-1-1+1-1+1-1+1</f>
        <v>2</v>
      </c>
      <c r="F99" s="140">
        <f>0+1-1+1+2-1-1+1+1-1+1+1-2+2-2+2</f>
        <v>4</v>
      </c>
      <c r="G99" s="140">
        <f>0+1+2-1-1+1+1+1-1+1+1</f>
        <v>5</v>
      </c>
      <c r="H99" s="140">
        <f>0+3</f>
        <v>3</v>
      </c>
      <c r="I99" s="140">
        <f t="shared" ref="I99:J99" si="60">0</f>
        <v>0</v>
      </c>
      <c r="J99" s="140">
        <f t="shared" si="60"/>
        <v>0</v>
      </c>
      <c r="K99" s="140">
        <f t="shared" si="59"/>
        <v>24</v>
      </c>
    </row>
    <row r="100" ht="14.25" customHeight="1">
      <c r="A100" s="84" t="s">
        <v>164</v>
      </c>
      <c r="B100" s="140">
        <f>0+1</f>
        <v>1</v>
      </c>
      <c r="C100" s="140">
        <f>0+1+1-1+1+1-1-1</f>
        <v>1</v>
      </c>
      <c r="D100" s="140">
        <f t="shared" ref="D100:D101" si="62">0</f>
        <v>0</v>
      </c>
      <c r="E100" s="140">
        <f>0+1</f>
        <v>1</v>
      </c>
      <c r="F100" s="140">
        <f>0+1+1-1+1+1+1-2</f>
        <v>2</v>
      </c>
      <c r="G100" s="140">
        <f t="shared" ref="G100:J100" si="61">0</f>
        <v>0</v>
      </c>
      <c r="H100" s="140">
        <f t="shared" si="61"/>
        <v>0</v>
      </c>
      <c r="I100" s="140">
        <f t="shared" si="61"/>
        <v>0</v>
      </c>
      <c r="J100" s="140">
        <f t="shared" si="61"/>
        <v>0</v>
      </c>
      <c r="K100" s="140">
        <f t="shared" si="59"/>
        <v>5</v>
      </c>
    </row>
    <row r="101" ht="14.25" customHeight="1">
      <c r="A101" s="84" t="s">
        <v>165</v>
      </c>
      <c r="B101" s="140">
        <f>0</f>
        <v>0</v>
      </c>
      <c r="C101" s="140">
        <f>0+2+1+1-1</f>
        <v>3</v>
      </c>
      <c r="D101" s="140">
        <f t="shared" si="62"/>
        <v>0</v>
      </c>
      <c r="E101" s="140">
        <f>0+1-1+1+1-1+1-1</f>
        <v>1</v>
      </c>
      <c r="F101" s="140">
        <f t="shared" ref="F101:J101" si="63">0</f>
        <v>0</v>
      </c>
      <c r="G101" s="140">
        <f t="shared" si="63"/>
        <v>0</v>
      </c>
      <c r="H101" s="140">
        <f t="shared" si="63"/>
        <v>0</v>
      </c>
      <c r="I101" s="140">
        <f t="shared" si="63"/>
        <v>0</v>
      </c>
      <c r="J101" s="140">
        <f t="shared" si="63"/>
        <v>0</v>
      </c>
      <c r="K101" s="140">
        <f t="shared" si="59"/>
        <v>4</v>
      </c>
    </row>
    <row r="102" ht="14.25" customHeight="1">
      <c r="A102" s="84" t="s">
        <v>166</v>
      </c>
      <c r="B102" s="140">
        <f>0+1-1+2-2</f>
        <v>0</v>
      </c>
      <c r="C102" s="140">
        <f>0+2-1+1-1+1</f>
        <v>2</v>
      </c>
      <c r="D102" s="140">
        <f>0+3-1+1-1+1</f>
        <v>3</v>
      </c>
      <c r="E102" s="140">
        <f>0+1-1+1-1+1</f>
        <v>1</v>
      </c>
      <c r="F102" s="140">
        <f>0+1-1+1+1-1-1+1</f>
        <v>1</v>
      </c>
      <c r="G102" s="140">
        <f>0+1-1+1-1+1</f>
        <v>1</v>
      </c>
      <c r="H102" s="140">
        <f t="shared" ref="H102:J102" si="64">0</f>
        <v>0</v>
      </c>
      <c r="I102" s="140">
        <f t="shared" si="64"/>
        <v>0</v>
      </c>
      <c r="J102" s="140">
        <f t="shared" si="64"/>
        <v>0</v>
      </c>
      <c r="K102" s="140">
        <f t="shared" si="59"/>
        <v>8</v>
      </c>
    </row>
    <row r="103" ht="14.25" customHeight="1">
      <c r="A103" s="174" t="s">
        <v>167</v>
      </c>
      <c r="B103" s="140">
        <f>0+1-1+2</f>
        <v>2</v>
      </c>
      <c r="C103" s="140">
        <f>0+1</f>
        <v>1</v>
      </c>
      <c r="D103" s="140">
        <f>0+2+1-1+1</f>
        <v>3</v>
      </c>
      <c r="E103" s="140">
        <f>0+1-1+1</f>
        <v>1</v>
      </c>
      <c r="F103" s="140">
        <f>0+3</f>
        <v>3</v>
      </c>
      <c r="G103" s="140">
        <f t="shared" ref="G103:J103" si="65">0</f>
        <v>0</v>
      </c>
      <c r="H103" s="140">
        <f t="shared" si="65"/>
        <v>0</v>
      </c>
      <c r="I103" s="140">
        <f t="shared" si="65"/>
        <v>0</v>
      </c>
      <c r="J103" s="140">
        <f t="shared" si="65"/>
        <v>0</v>
      </c>
      <c r="K103" s="140">
        <f t="shared" si="59"/>
        <v>10</v>
      </c>
    </row>
    <row r="104" ht="14.25" customHeight="1">
      <c r="K104" s="175">
        <f>SUM(K97:K102)</f>
        <v>57</v>
      </c>
    </row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V1:AB2"/>
    <mergeCell ref="A2:K2"/>
    <mergeCell ref="B3:J3"/>
    <mergeCell ref="A10:K10"/>
    <mergeCell ref="B11:J11"/>
    <mergeCell ref="A18:K18"/>
    <mergeCell ref="B19:J19"/>
    <mergeCell ref="A70:K70"/>
    <mergeCell ref="A80:K80"/>
    <mergeCell ref="A93:K93"/>
    <mergeCell ref="B94:J94"/>
    <mergeCell ref="A26:K26"/>
    <mergeCell ref="B27:J27"/>
    <mergeCell ref="A35:K35"/>
    <mergeCell ref="B36:J36"/>
    <mergeCell ref="A44:K44"/>
    <mergeCell ref="A53:K53"/>
    <mergeCell ref="A60:K60"/>
  </mergeCells>
  <conditionalFormatting sqref="B6:K7">
    <cfRule type="cellIs" dxfId="0" priority="1" operator="lessThan">
      <formula>3</formula>
    </cfRule>
  </conditionalFormatting>
  <conditionalFormatting sqref="B14:K15">
    <cfRule type="cellIs" dxfId="0" priority="2" operator="lessThan">
      <formula>3</formula>
    </cfRule>
  </conditionalFormatting>
  <conditionalFormatting sqref="B22:K23">
    <cfRule type="cellIs" dxfId="0" priority="3" operator="lessThan">
      <formula>3</formula>
    </cfRule>
  </conditionalFormatting>
  <conditionalFormatting sqref="B30:L31">
    <cfRule type="cellIs" dxfId="0" priority="4" operator="lessThan">
      <formula>3</formula>
    </cfRule>
  </conditionalFormatting>
  <conditionalFormatting sqref="B39:K41">
    <cfRule type="cellIs" dxfId="0" priority="5" operator="lessThan">
      <formula>3</formula>
    </cfRule>
  </conditionalFormatting>
  <conditionalFormatting sqref="B46:K51">
    <cfRule type="cellIs" dxfId="0" priority="6" operator="lessThan">
      <formula>3</formula>
    </cfRule>
  </conditionalFormatting>
  <conditionalFormatting sqref="B55:K57">
    <cfRule type="cellIs" dxfId="0" priority="7" operator="lessThan">
      <formula>3</formula>
    </cfRule>
  </conditionalFormatting>
  <conditionalFormatting sqref="B62:K67">
    <cfRule type="cellIs" dxfId="0" priority="8" operator="lessThan">
      <formula>3</formula>
    </cfRule>
  </conditionalFormatting>
  <conditionalFormatting sqref="B72:K77">
    <cfRule type="cellIs" dxfId="0" priority="9" operator="lessThan">
      <formula>3</formula>
    </cfRule>
  </conditionalFormatting>
  <conditionalFormatting sqref="B82:K87">
    <cfRule type="cellIs" dxfId="0" priority="10" operator="lessThan">
      <formula>3</formula>
    </cfRule>
  </conditionalFormatting>
  <conditionalFormatting sqref="B97:K103">
    <cfRule type="cellIs" dxfId="0" priority="11" operator="lessThan">
      <formula>3</formula>
    </cfRule>
  </conditionalFormatting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71"/>
    <col customWidth="1" min="18" max="18" width="22.0"/>
  </cols>
  <sheetData>
    <row r="1">
      <c r="A1" s="111" t="s">
        <v>113</v>
      </c>
      <c r="B1" s="50"/>
      <c r="C1" s="50"/>
      <c r="D1" s="50"/>
      <c r="E1" s="50"/>
      <c r="F1" s="50"/>
      <c r="G1" s="50"/>
      <c r="H1" s="50"/>
      <c r="I1" s="50"/>
      <c r="J1" s="50"/>
      <c r="K1" s="51"/>
      <c r="R1" s="176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8"/>
    </row>
    <row r="2">
      <c r="A2" s="81"/>
      <c r="B2" s="82" t="s">
        <v>1</v>
      </c>
      <c r="C2" s="50"/>
      <c r="D2" s="50"/>
      <c r="E2" s="50"/>
      <c r="F2" s="50"/>
      <c r="G2" s="50"/>
      <c r="H2" s="50"/>
      <c r="I2" s="50"/>
      <c r="J2" s="51"/>
      <c r="K2" s="114"/>
      <c r="R2" s="176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8"/>
    </row>
    <row r="3">
      <c r="A3" s="81" t="s">
        <v>52</v>
      </c>
      <c r="B3" s="89">
        <v>28.0</v>
      </c>
      <c r="C3" s="89">
        <v>30.0</v>
      </c>
      <c r="D3" s="89">
        <v>32.0</v>
      </c>
      <c r="E3" s="89">
        <v>34.0</v>
      </c>
      <c r="F3" s="89">
        <v>36.0</v>
      </c>
      <c r="G3" s="89">
        <v>38.0</v>
      </c>
      <c r="H3" s="89">
        <v>40.0</v>
      </c>
      <c r="I3" s="89"/>
      <c r="J3" s="89"/>
      <c r="K3" s="114"/>
      <c r="R3" s="176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8"/>
    </row>
    <row r="4">
      <c r="A4" s="81"/>
      <c r="B4" s="112" t="s">
        <v>4</v>
      </c>
      <c r="C4" s="112" t="s">
        <v>53</v>
      </c>
      <c r="D4" s="112" t="s">
        <v>54</v>
      </c>
      <c r="E4" s="112" t="s">
        <v>55</v>
      </c>
      <c r="F4" s="112" t="s">
        <v>56</v>
      </c>
      <c r="G4" s="112" t="s">
        <v>9</v>
      </c>
      <c r="H4" s="112" t="s">
        <v>10</v>
      </c>
      <c r="I4" s="112" t="s">
        <v>11</v>
      </c>
      <c r="J4" s="112" t="s">
        <v>12</v>
      </c>
      <c r="K4" s="119" t="s">
        <v>49</v>
      </c>
      <c r="R4" s="176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8"/>
    </row>
    <row r="5">
      <c r="A5" s="84" t="s">
        <v>115</v>
      </c>
      <c r="B5" s="89"/>
      <c r="C5" s="89"/>
      <c r="D5" s="89">
        <f>1</f>
        <v>1</v>
      </c>
      <c r="E5" s="89"/>
      <c r="F5" s="89"/>
      <c r="G5" s="89"/>
      <c r="H5" s="89"/>
      <c r="I5" s="89"/>
      <c r="J5" s="89"/>
      <c r="K5" s="114">
        <f>SUM(B5:J5)</f>
        <v>1</v>
      </c>
      <c r="R5" s="176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8"/>
    </row>
    <row r="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R6" s="176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8"/>
    </row>
    <row r="7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R7" s="176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8"/>
    </row>
    <row r="8">
      <c r="A8" s="180" t="s">
        <v>168</v>
      </c>
      <c r="B8" s="50"/>
      <c r="C8" s="50"/>
      <c r="D8" s="50"/>
      <c r="E8" s="50"/>
      <c r="F8" s="50"/>
      <c r="G8" s="50"/>
      <c r="H8" s="50"/>
      <c r="I8" s="50"/>
      <c r="J8" s="50"/>
      <c r="K8" s="51"/>
      <c r="R8" s="7"/>
      <c r="S8" s="181" t="s">
        <v>169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  <c r="AK8" s="54"/>
    </row>
    <row r="9">
      <c r="A9" s="141"/>
      <c r="B9" s="82" t="s">
        <v>1</v>
      </c>
      <c r="C9" s="50"/>
      <c r="D9" s="50"/>
      <c r="E9" s="50"/>
      <c r="F9" s="50"/>
      <c r="G9" s="50"/>
      <c r="H9" s="50"/>
      <c r="I9" s="50"/>
      <c r="J9" s="51"/>
      <c r="K9" s="114"/>
      <c r="R9" s="7"/>
      <c r="S9" s="12" t="s">
        <v>1</v>
      </c>
      <c r="T9" s="13"/>
      <c r="U9" s="13"/>
      <c r="V9" s="13"/>
      <c r="W9" s="13"/>
      <c r="X9" s="13"/>
      <c r="Y9" s="13"/>
      <c r="Z9" s="13"/>
      <c r="AA9" s="14"/>
      <c r="AB9" s="15" t="s">
        <v>2</v>
      </c>
      <c r="AC9" s="13"/>
      <c r="AD9" s="13"/>
      <c r="AE9" s="13"/>
      <c r="AF9" s="13"/>
      <c r="AG9" s="13"/>
      <c r="AH9" s="13"/>
      <c r="AI9" s="13"/>
      <c r="AJ9" s="14"/>
      <c r="AK9" s="182" t="s">
        <v>38</v>
      </c>
    </row>
    <row r="10">
      <c r="A10" s="81" t="s">
        <v>52</v>
      </c>
      <c r="B10" s="89">
        <v>28.0</v>
      </c>
      <c r="C10" s="89">
        <v>30.0</v>
      </c>
      <c r="D10" s="89">
        <v>32.0</v>
      </c>
      <c r="E10" s="89">
        <v>34.0</v>
      </c>
      <c r="F10" s="89">
        <v>36.0</v>
      </c>
      <c r="G10" s="89">
        <v>38.0</v>
      </c>
      <c r="H10" s="89">
        <v>40.0</v>
      </c>
      <c r="I10" s="89"/>
      <c r="J10" s="89"/>
      <c r="K10" s="114"/>
      <c r="R10" s="16" t="s">
        <v>3</v>
      </c>
      <c r="S10" s="17" t="s">
        <v>4</v>
      </c>
      <c r="T10" s="18" t="s">
        <v>5</v>
      </c>
      <c r="U10" s="18" t="s">
        <v>6</v>
      </c>
      <c r="V10" s="18" t="s">
        <v>7</v>
      </c>
      <c r="W10" s="18" t="s">
        <v>8</v>
      </c>
      <c r="X10" s="18" t="s">
        <v>9</v>
      </c>
      <c r="Y10" s="18" t="s">
        <v>10</v>
      </c>
      <c r="Z10" s="18" t="s">
        <v>11</v>
      </c>
      <c r="AA10" s="18" t="s">
        <v>12</v>
      </c>
      <c r="AB10" s="19" t="s">
        <v>4</v>
      </c>
      <c r="AC10" s="19" t="s">
        <v>5</v>
      </c>
      <c r="AD10" s="19" t="s">
        <v>6</v>
      </c>
      <c r="AE10" s="19" t="s">
        <v>7</v>
      </c>
      <c r="AF10" s="19" t="s">
        <v>8</v>
      </c>
      <c r="AG10" s="19" t="s">
        <v>9</v>
      </c>
      <c r="AH10" s="19" t="s">
        <v>10</v>
      </c>
      <c r="AI10" s="19" t="s">
        <v>11</v>
      </c>
      <c r="AJ10" s="20" t="s">
        <v>12</v>
      </c>
      <c r="AK10" s="54"/>
    </row>
    <row r="11">
      <c r="A11" s="143" t="s">
        <v>99</v>
      </c>
      <c r="B11" s="112" t="s">
        <v>4</v>
      </c>
      <c r="C11" s="112" t="s">
        <v>53</v>
      </c>
      <c r="D11" s="112" t="s">
        <v>54</v>
      </c>
      <c r="E11" s="112" t="s">
        <v>55</v>
      </c>
      <c r="F11" s="112" t="s">
        <v>56</v>
      </c>
      <c r="G11" s="112" t="s">
        <v>9</v>
      </c>
      <c r="H11" s="112" t="s">
        <v>10</v>
      </c>
      <c r="I11" s="112" t="s">
        <v>11</v>
      </c>
      <c r="J11" s="112" t="s">
        <v>12</v>
      </c>
      <c r="K11" s="119" t="s">
        <v>49</v>
      </c>
      <c r="R11" s="21" t="s">
        <v>13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183"/>
    </row>
    <row r="12">
      <c r="A12" s="84" t="s">
        <v>57</v>
      </c>
      <c r="B12" s="105">
        <f>1</f>
        <v>1</v>
      </c>
      <c r="C12" s="105"/>
      <c r="D12" s="105"/>
      <c r="E12" s="117"/>
      <c r="F12" s="105"/>
      <c r="G12" s="105"/>
      <c r="H12" s="140"/>
      <c r="I12" s="105"/>
      <c r="J12" s="105"/>
      <c r="K12" s="140"/>
      <c r="R12" s="21" t="s">
        <v>14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5"/>
      <c r="AE12" s="22"/>
      <c r="AF12" s="22"/>
      <c r="AG12" s="22"/>
      <c r="AH12" s="22"/>
      <c r="AI12" s="26"/>
      <c r="AJ12" s="22"/>
      <c r="AK12" s="183"/>
    </row>
    <row r="13">
      <c r="A13" s="106" t="s">
        <v>14</v>
      </c>
      <c r="B13" s="105"/>
      <c r="C13" s="105"/>
      <c r="D13" s="117"/>
      <c r="E13" s="105"/>
      <c r="F13" s="105"/>
      <c r="G13" s="105"/>
      <c r="H13" s="105"/>
      <c r="I13" s="105"/>
      <c r="J13" s="105"/>
      <c r="K13" s="140"/>
      <c r="R13" s="21" t="s">
        <v>15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>
        <f>1</f>
        <v>1</v>
      </c>
      <c r="AE13" s="22"/>
      <c r="AF13" s="22"/>
      <c r="AG13" s="22"/>
      <c r="AH13" s="22"/>
      <c r="AI13" s="22"/>
      <c r="AJ13" s="22"/>
      <c r="AK13" s="183"/>
    </row>
    <row r="14">
      <c r="A14" s="84" t="s">
        <v>100</v>
      </c>
      <c r="B14" s="105"/>
      <c r="C14" s="105"/>
      <c r="D14" s="105"/>
      <c r="E14" s="105"/>
      <c r="F14" s="105">
        <f>1</f>
        <v>1</v>
      </c>
      <c r="G14" s="105"/>
      <c r="H14" s="105"/>
      <c r="I14" s="105"/>
      <c r="J14" s="117"/>
      <c r="K14" s="140"/>
      <c r="R14" s="21" t="s">
        <v>16</v>
      </c>
      <c r="S14" s="22"/>
      <c r="T14" s="22"/>
      <c r="U14" s="22"/>
      <c r="V14" s="22"/>
      <c r="W14" s="27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183"/>
    </row>
    <row r="15">
      <c r="A15" s="106" t="s">
        <v>102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40"/>
      <c r="R15" s="21" t="s">
        <v>17</v>
      </c>
      <c r="S15" s="22"/>
      <c r="T15" s="22"/>
      <c r="U15" s="22"/>
      <c r="V15" s="22"/>
      <c r="W15" s="22"/>
      <c r="X15" s="22"/>
      <c r="Y15" s="22"/>
      <c r="Z15" s="22"/>
      <c r="AA15" s="22"/>
      <c r="AB15" s="22">
        <f>1</f>
        <v>1</v>
      </c>
      <c r="AC15" s="22"/>
      <c r="AD15" s="23"/>
      <c r="AE15" s="22"/>
      <c r="AF15" s="22"/>
      <c r="AG15" s="22"/>
      <c r="AH15" s="22"/>
      <c r="AI15" s="22"/>
      <c r="AJ15" s="22"/>
      <c r="AK15" s="183"/>
    </row>
    <row r="16">
      <c r="A16" s="106" t="s">
        <v>16</v>
      </c>
      <c r="B16" s="105"/>
      <c r="C16" s="105"/>
      <c r="D16" s="105"/>
      <c r="E16" s="105">
        <f>1</f>
        <v>1</v>
      </c>
      <c r="F16" s="105"/>
      <c r="G16" s="105"/>
      <c r="H16" s="105"/>
      <c r="I16" s="105"/>
      <c r="J16" s="105"/>
      <c r="K16" s="140"/>
      <c r="R16" s="21" t="s">
        <v>18</v>
      </c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>
        <f t="shared" ref="AC16:AC17" si="1">1</f>
        <v>1</v>
      </c>
      <c r="AD16" s="22"/>
      <c r="AE16" s="22"/>
      <c r="AF16" s="22"/>
      <c r="AG16" s="22"/>
      <c r="AH16" s="22"/>
      <c r="AI16" s="22"/>
      <c r="AJ16" s="22"/>
      <c r="AK16" s="183"/>
    </row>
    <row r="17">
      <c r="A17" s="106" t="s">
        <v>13</v>
      </c>
      <c r="B17" s="105"/>
      <c r="C17" s="105"/>
      <c r="D17" s="105"/>
      <c r="E17" s="105"/>
      <c r="F17" s="117"/>
      <c r="G17" s="105"/>
      <c r="H17" s="105"/>
      <c r="I17" s="105"/>
      <c r="J17" s="105"/>
      <c r="K17" s="140"/>
      <c r="R17" s="21" t="s">
        <v>19</v>
      </c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>
        <f t="shared" si="1"/>
        <v>1</v>
      </c>
      <c r="AD17" s="22"/>
      <c r="AE17" s="22"/>
      <c r="AF17" s="22"/>
      <c r="AG17" s="22"/>
      <c r="AH17" s="22"/>
      <c r="AI17" s="22"/>
      <c r="AJ17" s="22"/>
      <c r="AK17" s="183"/>
    </row>
    <row r="18">
      <c r="A18" s="106" t="s">
        <v>20</v>
      </c>
      <c r="B18" s="117"/>
      <c r="C18" s="105"/>
      <c r="D18" s="105">
        <f>1</f>
        <v>1</v>
      </c>
      <c r="E18" s="117"/>
      <c r="F18" s="105"/>
      <c r="G18" s="105"/>
      <c r="H18" s="105"/>
      <c r="I18" s="105"/>
      <c r="J18" s="105"/>
      <c r="K18" s="140"/>
      <c r="R18" s="21" t="s">
        <v>20</v>
      </c>
      <c r="S18" s="28"/>
      <c r="T18" s="28"/>
      <c r="U18" s="28"/>
      <c r="V18" s="28"/>
      <c r="W18" s="28"/>
      <c r="X18" s="28"/>
      <c r="Y18" s="28"/>
      <c r="Z18" s="28"/>
      <c r="AA18" s="29"/>
      <c r="AB18" s="26"/>
      <c r="AC18" s="26"/>
      <c r="AD18" s="26"/>
      <c r="AE18" s="26"/>
      <c r="AF18" s="26"/>
      <c r="AG18" s="26"/>
      <c r="AH18" s="26"/>
      <c r="AI18" s="26"/>
      <c r="AJ18" s="26"/>
      <c r="AK18" s="183"/>
    </row>
    <row r="19">
      <c r="A19" s="106" t="s">
        <v>103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40"/>
      <c r="R19" s="21" t="s">
        <v>21</v>
      </c>
      <c r="S19" s="30"/>
      <c r="T19" s="30"/>
      <c r="U19" s="30"/>
      <c r="V19" s="30"/>
      <c r="W19" s="30"/>
      <c r="X19" s="30"/>
      <c r="Y19" s="30"/>
      <c r="Z19" s="30"/>
      <c r="AA19" s="30"/>
      <c r="AB19" s="22"/>
      <c r="AC19" s="22"/>
      <c r="AD19" s="26"/>
      <c r="AE19" s="26"/>
      <c r="AF19" s="26"/>
      <c r="AG19" s="26"/>
      <c r="AH19" s="26"/>
      <c r="AI19" s="26"/>
      <c r="AJ19" s="26"/>
      <c r="AK19" s="183"/>
    </row>
    <row r="20">
      <c r="A20" s="106" t="s">
        <v>104</v>
      </c>
      <c r="B20" s="105"/>
      <c r="C20" s="105"/>
      <c r="D20" s="105"/>
      <c r="E20" s="105"/>
      <c r="F20" s="105">
        <f>1</f>
        <v>1</v>
      </c>
      <c r="G20" s="105"/>
      <c r="H20" s="105"/>
      <c r="I20" s="105"/>
      <c r="J20" s="105"/>
      <c r="K20" s="140"/>
      <c r="R20" s="21" t="s">
        <v>22</v>
      </c>
      <c r="S20" s="30"/>
      <c r="T20" s="30"/>
      <c r="U20" s="30"/>
      <c r="V20" s="30"/>
      <c r="W20" s="30"/>
      <c r="X20" s="30"/>
      <c r="Y20" s="30"/>
      <c r="Z20" s="30"/>
      <c r="AA20" s="30"/>
      <c r="AB20" s="26"/>
      <c r="AC20" s="26"/>
      <c r="AD20" s="26"/>
      <c r="AE20" s="26"/>
      <c r="AF20" s="26"/>
      <c r="AG20" s="26"/>
      <c r="AH20" s="26"/>
      <c r="AI20" s="26"/>
      <c r="AJ20" s="26"/>
      <c r="AK20" s="183"/>
    </row>
    <row r="21">
      <c r="A21" s="106" t="s">
        <v>105</v>
      </c>
      <c r="B21" s="105"/>
      <c r="C21" s="105"/>
      <c r="D21" s="105"/>
      <c r="E21" s="105"/>
      <c r="F21" s="105"/>
      <c r="G21" s="140"/>
      <c r="H21" s="140"/>
      <c r="I21" s="140"/>
      <c r="J21" s="140"/>
      <c r="K21" s="140"/>
      <c r="R21" s="21" t="s">
        <v>23</v>
      </c>
      <c r="S21" s="28"/>
      <c r="T21" s="28"/>
      <c r="U21" s="28"/>
      <c r="V21" s="28"/>
      <c r="W21" s="28"/>
      <c r="X21" s="28"/>
      <c r="Y21" s="28"/>
      <c r="Z21" s="28"/>
      <c r="AA21" s="29"/>
      <c r="AB21" s="22"/>
      <c r="AC21" s="22"/>
      <c r="AD21" s="26"/>
      <c r="AE21" s="26"/>
      <c r="AF21" s="26"/>
      <c r="AG21" s="26"/>
      <c r="AH21" s="26"/>
      <c r="AI21" s="26"/>
      <c r="AJ21" s="26"/>
      <c r="AK21" s="183"/>
    </row>
    <row r="22">
      <c r="A22" s="144" t="s">
        <v>26</v>
      </c>
      <c r="B22" s="140"/>
      <c r="C22" s="140">
        <f>1-1</f>
        <v>0</v>
      </c>
      <c r="D22" s="140"/>
      <c r="E22" s="140"/>
      <c r="F22" s="140"/>
      <c r="G22" s="140"/>
      <c r="H22" s="140"/>
      <c r="I22" s="140"/>
      <c r="J22" s="140"/>
      <c r="K22" s="140"/>
      <c r="R22" s="21" t="s">
        <v>24</v>
      </c>
      <c r="S22" s="28"/>
      <c r="T22" s="28"/>
      <c r="U22" s="28"/>
      <c r="V22" s="28">
        <f>1</f>
        <v>1</v>
      </c>
      <c r="W22" s="28"/>
      <c r="X22" s="28"/>
      <c r="Y22" s="28"/>
      <c r="Z22" s="28"/>
      <c r="AA22" s="28"/>
      <c r="AB22" s="22"/>
      <c r="AC22" s="22"/>
      <c r="AD22" s="22"/>
      <c r="AE22" s="22"/>
      <c r="AF22" s="22"/>
      <c r="AG22" s="22"/>
      <c r="AH22" s="22"/>
      <c r="AI22" s="22"/>
      <c r="AJ22" s="22"/>
      <c r="AK22" s="183"/>
    </row>
    <row r="23">
      <c r="A23" s="144" t="s">
        <v>106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R23" s="21" t="s">
        <v>25</v>
      </c>
      <c r="S23" s="28"/>
      <c r="T23" s="28"/>
      <c r="U23" s="28"/>
      <c r="V23" s="28"/>
      <c r="W23" s="28"/>
      <c r="X23" s="28"/>
      <c r="Y23" s="28"/>
      <c r="Z23" s="28"/>
      <c r="AA23" s="28"/>
      <c r="AB23" s="26"/>
      <c r="AC23" s="26"/>
      <c r="AD23" s="26">
        <f>1</f>
        <v>1</v>
      </c>
      <c r="AE23" s="26"/>
      <c r="AF23" s="26"/>
      <c r="AG23" s="26"/>
      <c r="AH23" s="26"/>
      <c r="AI23" s="26"/>
      <c r="AJ23" s="26"/>
      <c r="AK23" s="183"/>
    </row>
    <row r="24">
      <c r="A24" s="145" t="s">
        <v>107</v>
      </c>
      <c r="B24" s="140"/>
      <c r="C24" s="140"/>
      <c r="D24" s="140">
        <f>1</f>
        <v>1</v>
      </c>
      <c r="E24" s="140"/>
      <c r="F24" s="140"/>
      <c r="G24" s="140"/>
      <c r="H24" s="140"/>
      <c r="I24" s="140"/>
      <c r="J24" s="140"/>
      <c r="K24" s="140"/>
      <c r="R24" s="21" t="s">
        <v>26</v>
      </c>
      <c r="S24" s="28"/>
      <c r="T24" s="28"/>
      <c r="U24" s="28"/>
      <c r="V24" s="28"/>
      <c r="W24" s="28"/>
      <c r="X24" s="28"/>
      <c r="Y24" s="28"/>
      <c r="Z24" s="28"/>
      <c r="AA24" s="28"/>
      <c r="AB24" s="26"/>
      <c r="AC24" s="26"/>
      <c r="AD24" s="26"/>
      <c r="AE24" s="26"/>
      <c r="AF24" s="26"/>
      <c r="AG24" s="26"/>
      <c r="AH24" s="26"/>
      <c r="AI24" s="26"/>
      <c r="AJ24" s="26"/>
      <c r="AK24" s="183"/>
    </row>
    <row r="2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8">
        <f>SUM(K12:K21)</f>
        <v>0</v>
      </c>
      <c r="R25" s="21" t="s">
        <v>27</v>
      </c>
      <c r="S25" s="28"/>
      <c r="T25" s="28"/>
      <c r="U25" s="28"/>
      <c r="V25" s="28"/>
      <c r="W25" s="28"/>
      <c r="X25" s="28"/>
      <c r="Y25" s="28"/>
      <c r="Z25" s="28"/>
      <c r="AA25" s="28"/>
      <c r="AB25" s="26"/>
      <c r="AC25" s="26"/>
      <c r="AD25" s="26"/>
      <c r="AE25" s="26"/>
      <c r="AF25" s="26"/>
      <c r="AG25" s="26"/>
      <c r="AH25" s="26"/>
      <c r="AI25" s="26"/>
      <c r="AJ25" s="26"/>
      <c r="AK25" s="183"/>
    </row>
    <row r="26">
      <c r="A26" s="180" t="s">
        <v>170</v>
      </c>
      <c r="B26" s="50"/>
      <c r="C26" s="50"/>
      <c r="D26" s="50"/>
      <c r="E26" s="50"/>
      <c r="F26" s="50"/>
      <c r="G26" s="50"/>
      <c r="H26" s="50"/>
      <c r="I26" s="50"/>
      <c r="J26" s="50"/>
      <c r="K26" s="51"/>
      <c r="R26" s="21" t="s">
        <v>28</v>
      </c>
      <c r="S26" s="28"/>
      <c r="T26" s="28">
        <f>1</f>
        <v>1</v>
      </c>
      <c r="U26" s="28"/>
      <c r="V26" s="28"/>
      <c r="W26" s="28"/>
      <c r="X26" s="28"/>
      <c r="Y26" s="28"/>
      <c r="Z26" s="28"/>
      <c r="AA26" s="28"/>
      <c r="AB26" s="26"/>
      <c r="AC26" s="26"/>
      <c r="AD26" s="26"/>
      <c r="AE26" s="26"/>
      <c r="AF26" s="26"/>
      <c r="AG26" s="26"/>
      <c r="AH26" s="26"/>
      <c r="AI26" s="26"/>
      <c r="AJ26" s="26"/>
      <c r="AK26" s="183"/>
    </row>
    <row r="27">
      <c r="A27" s="149"/>
      <c r="B27" s="82" t="s">
        <v>2</v>
      </c>
      <c r="C27" s="50"/>
      <c r="D27" s="50"/>
      <c r="E27" s="50"/>
      <c r="F27" s="50"/>
      <c r="G27" s="50"/>
      <c r="H27" s="50"/>
      <c r="I27" s="50"/>
      <c r="J27" s="77"/>
      <c r="K27" s="114"/>
      <c r="R27" s="21" t="s">
        <v>29</v>
      </c>
      <c r="S27" s="28"/>
      <c r="T27" s="28"/>
      <c r="U27" s="28">
        <f>1</f>
        <v>1</v>
      </c>
      <c r="V27" s="28"/>
      <c r="W27" s="28"/>
      <c r="X27" s="28"/>
      <c r="Y27" s="28"/>
      <c r="Z27" s="28"/>
      <c r="AA27" s="28"/>
      <c r="AB27" s="26"/>
      <c r="AC27" s="26"/>
      <c r="AD27" s="26"/>
      <c r="AE27" s="26"/>
      <c r="AF27" s="26"/>
      <c r="AG27" s="26"/>
      <c r="AH27" s="26"/>
      <c r="AI27" s="26"/>
      <c r="AJ27" s="32"/>
      <c r="AK27" s="183"/>
    </row>
    <row r="28">
      <c r="A28" s="81" t="s">
        <v>52</v>
      </c>
      <c r="B28" s="89">
        <v>28.0</v>
      </c>
      <c r="C28" s="89">
        <v>30.0</v>
      </c>
      <c r="D28" s="89">
        <v>32.0</v>
      </c>
      <c r="E28" s="89">
        <v>34.0</v>
      </c>
      <c r="F28" s="89">
        <v>36.0</v>
      </c>
      <c r="G28" s="89">
        <v>38.0</v>
      </c>
      <c r="H28" s="89">
        <v>40.0</v>
      </c>
      <c r="I28" s="89"/>
      <c r="J28" s="90"/>
      <c r="K28" s="114"/>
      <c r="R28" s="21" t="s">
        <v>30</v>
      </c>
      <c r="S28" s="28"/>
      <c r="T28" s="28"/>
      <c r="U28" s="28"/>
      <c r="V28" s="28"/>
      <c r="W28" s="28"/>
      <c r="X28" s="28"/>
      <c r="Y28" s="28"/>
      <c r="Z28" s="28"/>
      <c r="AA28" s="29"/>
      <c r="AB28" s="26"/>
      <c r="AC28" s="26"/>
      <c r="AD28" s="26"/>
      <c r="AE28" s="26"/>
      <c r="AF28" s="26"/>
      <c r="AG28" s="26"/>
      <c r="AH28" s="26"/>
      <c r="AI28" s="26"/>
      <c r="AJ28" s="26"/>
      <c r="AK28" s="183"/>
    </row>
    <row r="29">
      <c r="A29" s="143" t="s">
        <v>99</v>
      </c>
      <c r="B29" s="112" t="s">
        <v>4</v>
      </c>
      <c r="C29" s="126" t="s">
        <v>53</v>
      </c>
      <c r="D29" s="112" t="s">
        <v>54</v>
      </c>
      <c r="E29" s="112" t="s">
        <v>55</v>
      </c>
      <c r="F29" s="112" t="s">
        <v>56</v>
      </c>
      <c r="G29" s="112" t="s">
        <v>9</v>
      </c>
      <c r="H29" s="112" t="s">
        <v>10</v>
      </c>
      <c r="I29" s="112" t="s">
        <v>11</v>
      </c>
      <c r="J29" s="85" t="s">
        <v>12</v>
      </c>
      <c r="K29" s="119" t="s">
        <v>49</v>
      </c>
      <c r="R29" s="21" t="s">
        <v>31</v>
      </c>
      <c r="S29" s="28"/>
      <c r="T29" s="28"/>
      <c r="U29" s="28"/>
      <c r="V29" s="28"/>
      <c r="W29" s="28"/>
      <c r="X29" s="28"/>
      <c r="Y29" s="28"/>
      <c r="Z29" s="28"/>
      <c r="AA29" s="28"/>
      <c r="AB29" s="26"/>
      <c r="AC29" s="26">
        <f>1</f>
        <v>1</v>
      </c>
      <c r="AD29" s="26"/>
      <c r="AE29" s="26"/>
      <c r="AF29" s="26"/>
      <c r="AG29" s="26"/>
      <c r="AH29" s="26"/>
      <c r="AI29" s="26"/>
      <c r="AJ29" s="26"/>
      <c r="AK29" s="183"/>
    </row>
    <row r="30">
      <c r="A30" s="84" t="s">
        <v>57</v>
      </c>
      <c r="B30" s="105"/>
      <c r="C30" s="105"/>
      <c r="D30" s="105"/>
      <c r="E30" s="105"/>
      <c r="F30" s="105"/>
      <c r="G30" s="117"/>
      <c r="H30" s="105"/>
      <c r="I30" s="105"/>
      <c r="J30" s="184"/>
      <c r="K30" s="114"/>
      <c r="R30" s="21" t="s">
        <v>32</v>
      </c>
      <c r="S30" s="28"/>
      <c r="T30" s="28"/>
      <c r="U30" s="28"/>
      <c r="V30" s="28">
        <f>1</f>
        <v>1</v>
      </c>
      <c r="W30" s="28"/>
      <c r="X30" s="28"/>
      <c r="Y30" s="28"/>
      <c r="Z30" s="28"/>
      <c r="AA30" s="29"/>
      <c r="AB30" s="26"/>
      <c r="AC30" s="26"/>
      <c r="AD30" s="26"/>
      <c r="AE30" s="26"/>
      <c r="AF30" s="26"/>
      <c r="AG30" s="26"/>
      <c r="AH30" s="26"/>
      <c r="AI30" s="26"/>
      <c r="AJ30" s="26"/>
      <c r="AK30" s="183"/>
    </row>
    <row r="31">
      <c r="A31" s="106" t="s">
        <v>14</v>
      </c>
      <c r="B31" s="105"/>
      <c r="C31" s="105">
        <f>1</f>
        <v>1</v>
      </c>
      <c r="D31" s="105"/>
      <c r="E31" s="117"/>
      <c r="F31" s="105"/>
      <c r="G31" s="117"/>
      <c r="H31" s="105"/>
      <c r="I31" s="117"/>
      <c r="J31" s="184"/>
      <c r="K31" s="114"/>
      <c r="R31" s="33" t="s">
        <v>33</v>
      </c>
      <c r="S31" s="34"/>
      <c r="T31" s="34"/>
      <c r="U31" s="34"/>
      <c r="V31" s="34"/>
      <c r="W31" s="34"/>
      <c r="X31" s="34"/>
      <c r="Y31" s="34"/>
      <c r="Z31" s="34"/>
      <c r="AA31" s="34"/>
      <c r="AB31" s="26"/>
      <c r="AC31" s="26"/>
      <c r="AD31" s="26"/>
      <c r="AE31" s="26"/>
      <c r="AF31" s="26"/>
      <c r="AG31" s="26"/>
      <c r="AH31" s="26"/>
      <c r="AI31" s="26"/>
      <c r="AJ31" s="26"/>
      <c r="AK31" s="183"/>
    </row>
    <row r="32">
      <c r="A32" s="84" t="s">
        <v>100</v>
      </c>
      <c r="B32" s="105"/>
      <c r="C32" s="105"/>
      <c r="D32" s="105"/>
      <c r="E32" s="105"/>
      <c r="F32" s="105"/>
      <c r="G32" s="105"/>
      <c r="H32" s="105"/>
      <c r="I32" s="105"/>
      <c r="J32" s="184"/>
      <c r="K32" s="114"/>
      <c r="R32" s="33" t="s">
        <v>34</v>
      </c>
      <c r="S32" s="34"/>
      <c r="T32" s="34"/>
      <c r="U32" s="34"/>
      <c r="V32" s="34"/>
      <c r="W32" s="34"/>
      <c r="X32" s="34"/>
      <c r="Y32" s="34"/>
      <c r="Z32" s="34"/>
      <c r="AA32" s="35"/>
      <c r="AB32" s="26"/>
      <c r="AC32" s="26"/>
      <c r="AD32" s="26"/>
      <c r="AE32" s="26"/>
      <c r="AF32" s="26"/>
      <c r="AG32" s="26"/>
      <c r="AH32" s="26"/>
      <c r="AI32" s="26"/>
      <c r="AJ32" s="26"/>
      <c r="AK32" s="183"/>
    </row>
    <row r="33">
      <c r="A33" s="106" t="s">
        <v>102</v>
      </c>
      <c r="B33" s="105">
        <f>1</f>
        <v>1</v>
      </c>
      <c r="C33" s="105"/>
      <c r="D33" s="105"/>
      <c r="E33" s="105"/>
      <c r="F33" s="105"/>
      <c r="G33" s="105"/>
      <c r="H33" s="105"/>
      <c r="I33" s="105"/>
      <c r="J33" s="184"/>
      <c r="K33" s="114"/>
      <c r="R33" s="33" t="s">
        <v>35</v>
      </c>
      <c r="S33" s="34"/>
      <c r="T33" s="34"/>
      <c r="U33" s="34"/>
      <c r="V33" s="34"/>
      <c r="W33" s="34"/>
      <c r="X33" s="34"/>
      <c r="Y33" s="34"/>
      <c r="Z33" s="34"/>
      <c r="AA33" s="34"/>
      <c r="AB33" s="26"/>
      <c r="AC33" s="26"/>
      <c r="AD33" s="26"/>
      <c r="AE33" s="26"/>
      <c r="AF33" s="26"/>
      <c r="AG33" s="26"/>
      <c r="AH33" s="26"/>
      <c r="AI33" s="26"/>
      <c r="AJ33" s="26"/>
      <c r="AK33" s="183"/>
    </row>
    <row r="34">
      <c r="A34" s="106" t="s">
        <v>16</v>
      </c>
      <c r="B34" s="105"/>
      <c r="C34" s="105"/>
      <c r="D34" s="117"/>
      <c r="E34" s="117"/>
      <c r="F34" s="105"/>
      <c r="G34" s="105"/>
      <c r="H34" s="105"/>
      <c r="I34" s="105"/>
      <c r="J34" s="184"/>
      <c r="K34" s="114"/>
      <c r="R34" s="36" t="s">
        <v>36</v>
      </c>
      <c r="S34" s="34"/>
      <c r="T34" s="34"/>
      <c r="U34" s="34"/>
      <c r="V34" s="34"/>
      <c r="W34" s="34"/>
      <c r="X34" s="34"/>
      <c r="Y34" s="34"/>
      <c r="Z34" s="34"/>
      <c r="AA34" s="34"/>
      <c r="AB34" s="26"/>
      <c r="AC34" s="26"/>
      <c r="AD34" s="26"/>
      <c r="AE34" s="26"/>
      <c r="AF34" s="26"/>
      <c r="AG34" s="26"/>
      <c r="AH34" s="26"/>
      <c r="AI34" s="26"/>
      <c r="AJ34" s="26"/>
      <c r="AK34" s="183"/>
    </row>
    <row r="35">
      <c r="A35" s="106" t="s">
        <v>13</v>
      </c>
      <c r="B35" s="105"/>
      <c r="C35" s="105"/>
      <c r="D35" s="105"/>
      <c r="E35" s="105">
        <f>1-1</f>
        <v>0</v>
      </c>
      <c r="F35" s="105"/>
      <c r="G35" s="105"/>
      <c r="H35" s="105"/>
      <c r="I35" s="140"/>
      <c r="J35" s="184"/>
      <c r="K35" s="114"/>
      <c r="R35" s="33" t="s">
        <v>37</v>
      </c>
      <c r="S35" s="34"/>
      <c r="T35" s="34"/>
      <c r="U35" s="34"/>
      <c r="V35" s="34"/>
      <c r="W35" s="34"/>
      <c r="X35" s="34"/>
      <c r="Y35" s="34"/>
      <c r="Z35" s="34"/>
      <c r="AA35" s="34"/>
      <c r="AB35" s="26"/>
      <c r="AC35" s="26"/>
      <c r="AD35" s="26"/>
      <c r="AE35" s="26"/>
      <c r="AF35" s="26"/>
      <c r="AG35" s="26"/>
      <c r="AH35" s="26"/>
      <c r="AI35" s="26"/>
      <c r="AJ35" s="26"/>
      <c r="AK35" s="183"/>
    </row>
    <row r="36">
      <c r="A36" s="106" t="s">
        <v>110</v>
      </c>
      <c r="B36" s="105"/>
      <c r="C36" s="105"/>
      <c r="D36" s="105"/>
      <c r="E36" s="105"/>
      <c r="F36" s="117"/>
      <c r="G36" s="105"/>
      <c r="H36" s="140"/>
      <c r="I36" s="105"/>
      <c r="J36" s="184"/>
      <c r="K36" s="114"/>
      <c r="R36" s="38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185"/>
    </row>
    <row r="37">
      <c r="A37" s="106" t="s">
        <v>103</v>
      </c>
      <c r="B37" s="105"/>
      <c r="C37" s="105"/>
      <c r="D37" s="117">
        <f>1</f>
        <v>1</v>
      </c>
      <c r="E37" s="105"/>
      <c r="F37" s="105"/>
      <c r="G37" s="105"/>
      <c r="H37" s="105"/>
      <c r="I37" s="105"/>
      <c r="J37" s="184"/>
      <c r="K37" s="114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54"/>
    </row>
    <row r="38">
      <c r="A38" s="106" t="s">
        <v>104</v>
      </c>
      <c r="B38" s="105"/>
      <c r="C38" s="105"/>
      <c r="D38" s="105"/>
      <c r="E38" s="105"/>
      <c r="F38" s="105"/>
      <c r="G38" s="105"/>
      <c r="H38" s="105"/>
      <c r="I38" s="105"/>
      <c r="J38" s="184"/>
      <c r="K38" s="114"/>
      <c r="R38" s="7"/>
      <c r="S38" s="181" t="s">
        <v>171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0"/>
      <c r="AK38" s="54"/>
    </row>
    <row r="39">
      <c r="A39" s="106" t="s">
        <v>105</v>
      </c>
      <c r="B39" s="105"/>
      <c r="C39" s="105">
        <f>1</f>
        <v>1</v>
      </c>
      <c r="D39" s="105"/>
      <c r="E39" s="105"/>
      <c r="F39" s="105"/>
      <c r="G39" s="105"/>
      <c r="H39" s="105"/>
      <c r="I39" s="105"/>
      <c r="J39" s="184"/>
      <c r="K39" s="114"/>
      <c r="R39" s="7"/>
      <c r="S39" s="186" t="s">
        <v>1</v>
      </c>
      <c r="T39" s="13"/>
      <c r="U39" s="13"/>
      <c r="V39" s="13"/>
      <c r="W39" s="13"/>
      <c r="X39" s="13"/>
      <c r="Y39" s="13"/>
      <c r="Z39" s="13"/>
      <c r="AA39" s="14"/>
      <c r="AB39" s="41"/>
      <c r="AC39" s="13"/>
      <c r="AD39" s="13"/>
      <c r="AE39" s="13"/>
      <c r="AF39" s="13"/>
      <c r="AG39" s="13"/>
      <c r="AH39" s="13"/>
      <c r="AI39" s="13"/>
      <c r="AJ39" s="14"/>
      <c r="AK39" s="54"/>
    </row>
    <row r="40">
      <c r="A40" s="156" t="s">
        <v>26</v>
      </c>
      <c r="B40" s="140"/>
      <c r="C40" s="140"/>
      <c r="D40" s="140"/>
      <c r="E40" s="155">
        <f>1</f>
        <v>1</v>
      </c>
      <c r="F40" s="140"/>
      <c r="G40" s="140"/>
      <c r="H40" s="140"/>
      <c r="I40" s="140"/>
      <c r="J40" s="140"/>
      <c r="K40" s="114"/>
      <c r="R40" s="16" t="s">
        <v>3</v>
      </c>
      <c r="S40" s="187" t="s">
        <v>4</v>
      </c>
      <c r="T40" s="188" t="s">
        <v>5</v>
      </c>
      <c r="U40" s="188" t="s">
        <v>6</v>
      </c>
      <c r="V40" s="188" t="s">
        <v>7</v>
      </c>
      <c r="W40" s="188" t="s">
        <v>56</v>
      </c>
      <c r="X40" s="188" t="s">
        <v>172</v>
      </c>
      <c r="Y40" s="188" t="s">
        <v>173</v>
      </c>
      <c r="Z40" s="188" t="s">
        <v>174</v>
      </c>
      <c r="AA40" s="189" t="s">
        <v>175</v>
      </c>
      <c r="AB40" s="190" t="s">
        <v>4</v>
      </c>
      <c r="AC40" s="191" t="s">
        <v>5</v>
      </c>
      <c r="AD40" s="191" t="s">
        <v>6</v>
      </c>
      <c r="AE40" s="191" t="s">
        <v>7</v>
      </c>
      <c r="AF40" s="191" t="s">
        <v>56</v>
      </c>
      <c r="AG40" s="191" t="s">
        <v>172</v>
      </c>
      <c r="AH40" s="191" t="s">
        <v>173</v>
      </c>
      <c r="AI40" s="191" t="s">
        <v>174</v>
      </c>
      <c r="AJ40" s="192" t="s">
        <v>175</v>
      </c>
      <c r="AK40" s="54"/>
    </row>
    <row r="41">
      <c r="A41" s="156" t="s">
        <v>106</v>
      </c>
      <c r="B41" s="140"/>
      <c r="C41" s="155"/>
      <c r="D41" s="140">
        <f>1</f>
        <v>1</v>
      </c>
      <c r="E41" s="140"/>
      <c r="F41" s="140"/>
      <c r="G41" s="140"/>
      <c r="H41" s="140"/>
      <c r="I41" s="140"/>
      <c r="J41" s="140"/>
      <c r="K41" s="114"/>
      <c r="R41" s="21" t="s">
        <v>13</v>
      </c>
      <c r="S41" s="193">
        <f>1</f>
        <v>1</v>
      </c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4"/>
    </row>
    <row r="42">
      <c r="A42" s="157" t="s">
        <v>107</v>
      </c>
      <c r="B42" s="140"/>
      <c r="C42" s="140"/>
      <c r="D42" s="140"/>
      <c r="E42" s="155"/>
      <c r="F42" s="140"/>
      <c r="G42" s="140"/>
      <c r="H42" s="140"/>
      <c r="I42" s="140"/>
      <c r="J42" s="140"/>
      <c r="K42" s="114"/>
      <c r="R42" s="21" t="s">
        <v>14</v>
      </c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>
        <f>1</f>
        <v>1</v>
      </c>
      <c r="AD42" s="193"/>
      <c r="AE42" s="193"/>
      <c r="AF42" s="193"/>
      <c r="AG42" s="193"/>
      <c r="AH42" s="193"/>
      <c r="AI42" s="193"/>
      <c r="AJ42" s="193"/>
      <c r="AK42" s="195"/>
    </row>
    <row r="43">
      <c r="R43" s="21" t="s">
        <v>40</v>
      </c>
      <c r="S43" s="193"/>
      <c r="T43" s="193">
        <f>1</f>
        <v>1</v>
      </c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4"/>
    </row>
    <row r="44">
      <c r="R44" s="21" t="s">
        <v>16</v>
      </c>
      <c r="S44" s="193"/>
      <c r="T44" s="193"/>
      <c r="U44" s="193"/>
      <c r="V44" s="193"/>
      <c r="W44" s="193"/>
      <c r="X44" s="193"/>
      <c r="Y44" s="193"/>
      <c r="Z44" s="193"/>
      <c r="AA44" s="193"/>
      <c r="AB44" s="193">
        <f>1</f>
        <v>1</v>
      </c>
      <c r="AC44" s="193"/>
      <c r="AD44" s="193"/>
      <c r="AE44" s="193"/>
      <c r="AF44" s="193"/>
      <c r="AG44" s="193"/>
      <c r="AH44" s="193"/>
      <c r="AI44" s="193"/>
      <c r="AJ44" s="193"/>
      <c r="AK44" s="194"/>
    </row>
    <row r="45">
      <c r="A45" s="67" t="s">
        <v>44</v>
      </c>
      <c r="B45" s="68"/>
      <c r="C45" s="68"/>
      <c r="D45" s="68"/>
      <c r="E45" s="68"/>
      <c r="F45" s="68"/>
      <c r="G45" s="68"/>
      <c r="H45" s="68"/>
      <c r="I45" s="68"/>
      <c r="J45" s="69"/>
      <c r="K45" s="70"/>
      <c r="R45" s="21" t="s">
        <v>17</v>
      </c>
      <c r="S45" s="193"/>
      <c r="T45" s="193"/>
      <c r="U45" s="193"/>
      <c r="V45" s="193">
        <f>1</f>
        <v>1</v>
      </c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4"/>
    </row>
    <row r="46">
      <c r="A46" s="73" t="s">
        <v>176</v>
      </c>
      <c r="B46" s="74"/>
      <c r="C46" s="74"/>
      <c r="D46" s="74"/>
      <c r="E46" s="74"/>
      <c r="F46" s="74"/>
      <c r="G46" s="74"/>
      <c r="H46" s="74"/>
      <c r="I46" s="74"/>
      <c r="J46" s="74"/>
      <c r="K46" s="75"/>
      <c r="R46" s="21" t="s">
        <v>18</v>
      </c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>
        <f>1</f>
        <v>1</v>
      </c>
      <c r="AD46" s="193"/>
      <c r="AE46" s="193"/>
      <c r="AF46" s="193"/>
      <c r="AG46" s="193"/>
      <c r="AH46" s="193"/>
      <c r="AI46" s="193"/>
      <c r="AJ46" s="193"/>
      <c r="AK46" s="194"/>
    </row>
    <row r="47">
      <c r="A47" s="81"/>
      <c r="B47" s="82" t="s">
        <v>1</v>
      </c>
      <c r="C47" s="50"/>
      <c r="D47" s="50"/>
      <c r="E47" s="50"/>
      <c r="F47" s="50"/>
      <c r="G47" s="50"/>
      <c r="H47" s="50"/>
      <c r="I47" s="50"/>
      <c r="J47" s="77"/>
      <c r="K47" s="83"/>
      <c r="R47" s="21" t="s">
        <v>19</v>
      </c>
      <c r="S47" s="193"/>
      <c r="T47" s="193"/>
      <c r="U47" s="196"/>
      <c r="V47" s="193"/>
      <c r="W47" s="193"/>
      <c r="X47" s="193"/>
      <c r="Y47" s="193"/>
      <c r="Z47" s="193"/>
      <c r="AA47" s="193"/>
      <c r="AB47" s="193">
        <f>1</f>
        <v>1</v>
      </c>
      <c r="AC47" s="193"/>
      <c r="AD47" s="193"/>
      <c r="AE47" s="193"/>
      <c r="AF47" s="193"/>
      <c r="AG47" s="193"/>
      <c r="AH47" s="193"/>
      <c r="AI47" s="193"/>
      <c r="AJ47" s="193"/>
      <c r="AK47" s="194"/>
    </row>
    <row r="48">
      <c r="A48" s="88" t="s">
        <v>51</v>
      </c>
      <c r="B48" s="89">
        <v>28.0</v>
      </c>
      <c r="C48" s="89">
        <v>30.0</v>
      </c>
      <c r="D48" s="89">
        <v>32.0</v>
      </c>
      <c r="E48" s="89">
        <v>34.0</v>
      </c>
      <c r="F48" s="89">
        <v>36.0</v>
      </c>
      <c r="G48" s="89">
        <v>38.0</v>
      </c>
      <c r="H48" s="89">
        <v>40.0</v>
      </c>
      <c r="I48" s="89"/>
      <c r="J48" s="90"/>
      <c r="K48" s="8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197"/>
    </row>
    <row r="49">
      <c r="A49" s="91"/>
      <c r="B49" s="92" t="s">
        <v>4</v>
      </c>
      <c r="C49" s="92" t="s">
        <v>53</v>
      </c>
      <c r="D49" s="92" t="s">
        <v>54</v>
      </c>
      <c r="E49" s="92" t="s">
        <v>55</v>
      </c>
      <c r="F49" s="92" t="s">
        <v>56</v>
      </c>
      <c r="G49" s="92" t="s">
        <v>9</v>
      </c>
      <c r="H49" s="92" t="s">
        <v>10</v>
      </c>
      <c r="I49" s="92" t="s">
        <v>11</v>
      </c>
      <c r="J49" s="93" t="s">
        <v>12</v>
      </c>
      <c r="K49" s="94" t="s">
        <v>49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54"/>
    </row>
    <row r="50">
      <c r="A50" s="84" t="s">
        <v>57</v>
      </c>
      <c r="B50" s="89"/>
      <c r="C50" s="89"/>
      <c r="D50" s="89"/>
      <c r="E50" s="89"/>
      <c r="F50" s="89"/>
      <c r="G50" s="89"/>
      <c r="H50" s="100"/>
      <c r="I50" s="89"/>
      <c r="J50" s="89"/>
      <c r="K50" s="101"/>
      <c r="R50" s="7"/>
      <c r="S50" s="198" t="s">
        <v>177</v>
      </c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  <c r="AK50" s="54"/>
    </row>
    <row r="51">
      <c r="A51" s="106" t="s">
        <v>13</v>
      </c>
      <c r="B51" s="89"/>
      <c r="C51" s="89"/>
      <c r="D51" s="89"/>
      <c r="E51" s="89"/>
      <c r="F51" s="89"/>
      <c r="G51" s="89"/>
      <c r="H51" s="89"/>
      <c r="I51" s="89"/>
      <c r="J51" s="89"/>
      <c r="K51" s="101"/>
      <c r="R51" s="7"/>
      <c r="S51" s="199" t="s">
        <v>42</v>
      </c>
      <c r="T51" s="3"/>
      <c r="U51" s="3"/>
      <c r="V51" s="3"/>
      <c r="W51" s="3"/>
      <c r="X51" s="3"/>
      <c r="Y51" s="3"/>
      <c r="Z51" s="3"/>
      <c r="AA51" s="53"/>
      <c r="AB51" s="54"/>
      <c r="AC51" s="7"/>
      <c r="AD51" s="7"/>
      <c r="AE51" s="7"/>
      <c r="AF51" s="7"/>
      <c r="AG51" s="7"/>
      <c r="AH51" s="7"/>
      <c r="AI51" s="7"/>
      <c r="AJ51" s="7"/>
      <c r="AK51" s="7"/>
    </row>
    <row r="52">
      <c r="A52" s="84" t="s">
        <v>61</v>
      </c>
      <c r="B52" s="89"/>
      <c r="C52" s="89"/>
      <c r="D52" s="89"/>
      <c r="E52" s="89">
        <f>1</f>
        <v>1</v>
      </c>
      <c r="F52" s="89"/>
      <c r="G52" s="89"/>
      <c r="H52" s="89"/>
      <c r="I52" s="89"/>
      <c r="J52" s="89"/>
      <c r="K52" s="101"/>
      <c r="R52" s="16" t="s">
        <v>3</v>
      </c>
      <c r="S52" s="200" t="s">
        <v>4</v>
      </c>
      <c r="T52" s="200" t="s">
        <v>5</v>
      </c>
      <c r="U52" s="200" t="s">
        <v>6</v>
      </c>
      <c r="V52" s="200" t="s">
        <v>7</v>
      </c>
      <c r="W52" s="200" t="s">
        <v>56</v>
      </c>
      <c r="X52" s="200" t="s">
        <v>172</v>
      </c>
      <c r="Y52" s="200" t="s">
        <v>173</v>
      </c>
      <c r="Z52" s="200" t="s">
        <v>174</v>
      </c>
      <c r="AA52" s="201" t="s">
        <v>175</v>
      </c>
      <c r="AB52" s="54"/>
      <c r="AC52" s="7"/>
      <c r="AD52" s="7"/>
      <c r="AE52" s="7"/>
      <c r="AF52" s="7"/>
      <c r="AG52" s="7"/>
      <c r="AH52" s="7"/>
      <c r="AI52" s="7"/>
      <c r="AJ52" s="7"/>
      <c r="AK52" s="7"/>
    </row>
    <row r="53">
      <c r="A53" s="106" t="s">
        <v>34</v>
      </c>
      <c r="B53" s="89"/>
      <c r="C53" s="89"/>
      <c r="D53" s="89"/>
      <c r="E53" s="89"/>
      <c r="F53" s="89"/>
      <c r="G53" s="89"/>
      <c r="H53" s="89"/>
      <c r="I53" s="89"/>
      <c r="J53" s="89"/>
      <c r="K53" s="101"/>
      <c r="R53" s="21" t="s">
        <v>13</v>
      </c>
      <c r="S53" s="202">
        <f t="shared" ref="S53:AA53" si="2">0</f>
        <v>0</v>
      </c>
      <c r="T53" s="202">
        <f t="shared" si="2"/>
        <v>0</v>
      </c>
      <c r="U53" s="202">
        <f t="shared" si="2"/>
        <v>0</v>
      </c>
      <c r="V53" s="202">
        <f t="shared" si="2"/>
        <v>0</v>
      </c>
      <c r="W53" s="202">
        <f t="shared" si="2"/>
        <v>0</v>
      </c>
      <c r="X53" s="202">
        <f t="shared" si="2"/>
        <v>0</v>
      </c>
      <c r="Y53" s="202">
        <f t="shared" si="2"/>
        <v>0</v>
      </c>
      <c r="Z53" s="202">
        <f t="shared" si="2"/>
        <v>0</v>
      </c>
      <c r="AA53" s="202">
        <f t="shared" si="2"/>
        <v>0</v>
      </c>
      <c r="AB53" s="194"/>
      <c r="AC53" s="7"/>
      <c r="AD53" s="7"/>
      <c r="AE53" s="7"/>
      <c r="AF53" s="7"/>
      <c r="AG53" s="7"/>
      <c r="AH53" s="7"/>
      <c r="AI53" s="7"/>
      <c r="AJ53" s="7"/>
      <c r="AK53" s="7"/>
    </row>
    <row r="54">
      <c r="A54" s="106" t="s">
        <v>26</v>
      </c>
      <c r="B54" s="89"/>
      <c r="C54" s="89"/>
      <c r="D54" s="89"/>
      <c r="E54" s="89"/>
      <c r="F54" s="89"/>
      <c r="G54" s="89"/>
      <c r="H54" s="89"/>
      <c r="I54" s="89"/>
      <c r="J54" s="89"/>
      <c r="K54" s="101"/>
      <c r="R54" s="21" t="s">
        <v>14</v>
      </c>
      <c r="S54" s="193"/>
      <c r="T54" s="193"/>
      <c r="U54" s="193"/>
      <c r="V54" s="193"/>
      <c r="W54" s="193"/>
      <c r="X54" s="193">
        <f>1</f>
        <v>1</v>
      </c>
      <c r="Y54" s="193"/>
      <c r="Z54" s="193"/>
      <c r="AA54" s="193"/>
      <c r="AB54" s="194"/>
      <c r="AC54" s="7"/>
      <c r="AD54" s="7"/>
      <c r="AE54" s="7"/>
      <c r="AF54" s="7"/>
      <c r="AG54" s="7"/>
      <c r="AH54" s="7"/>
      <c r="AI54" s="7"/>
      <c r="AJ54" s="7"/>
      <c r="AK54" s="7"/>
    </row>
    <row r="55">
      <c r="A55" s="108"/>
      <c r="B55" s="109"/>
      <c r="C55" s="109"/>
      <c r="D55" s="109"/>
      <c r="E55" s="109"/>
      <c r="F55" s="109"/>
      <c r="G55" s="109"/>
      <c r="H55" s="109"/>
      <c r="I55" s="109"/>
      <c r="J55" s="109"/>
      <c r="K55" s="110">
        <f>SUM(K50:K54)</f>
        <v>0</v>
      </c>
      <c r="R55" s="21" t="s">
        <v>43</v>
      </c>
      <c r="S55" s="193"/>
      <c r="T55" s="193"/>
      <c r="U55" s="193"/>
      <c r="V55" s="193">
        <f>1</f>
        <v>1</v>
      </c>
      <c r="W55" s="193"/>
      <c r="X55" s="193"/>
      <c r="Y55" s="193"/>
      <c r="Z55" s="193"/>
      <c r="AA55" s="193"/>
      <c r="AB55" s="194"/>
      <c r="AC55" s="7"/>
      <c r="AD55" s="7"/>
      <c r="AE55" s="7"/>
      <c r="AF55" s="7"/>
      <c r="AG55" s="7"/>
      <c r="AH55" s="7"/>
      <c r="AI55" s="7"/>
      <c r="AJ55" s="7"/>
      <c r="AK55" s="7"/>
    </row>
    <row r="56">
      <c r="A56" s="203" t="s">
        <v>178</v>
      </c>
      <c r="B56" s="50"/>
      <c r="C56" s="50"/>
      <c r="D56" s="50"/>
      <c r="E56" s="50"/>
      <c r="F56" s="50"/>
      <c r="G56" s="50"/>
      <c r="H56" s="50"/>
      <c r="I56" s="50"/>
      <c r="J56" s="50"/>
      <c r="K56" s="51"/>
      <c r="R56" s="21" t="s">
        <v>17</v>
      </c>
      <c r="S56" s="193">
        <f>1</f>
        <v>1</v>
      </c>
      <c r="T56" s="193"/>
      <c r="U56" s="193"/>
      <c r="V56" s="193"/>
      <c r="W56" s="193"/>
      <c r="X56" s="193"/>
      <c r="Y56" s="193"/>
      <c r="Z56" s="193"/>
      <c r="AA56" s="193"/>
      <c r="AB56" s="194"/>
      <c r="AC56" s="7"/>
      <c r="AD56" s="7"/>
      <c r="AE56" s="7"/>
      <c r="AF56" s="7"/>
      <c r="AG56" s="7"/>
      <c r="AH56" s="7"/>
      <c r="AI56" s="7"/>
      <c r="AJ56" s="7"/>
      <c r="AK56" s="7"/>
    </row>
    <row r="57">
      <c r="A57" s="81"/>
      <c r="B57" s="82" t="s">
        <v>2</v>
      </c>
      <c r="C57" s="50"/>
      <c r="D57" s="50"/>
      <c r="E57" s="50"/>
      <c r="F57" s="50"/>
      <c r="G57" s="50"/>
      <c r="H57" s="50"/>
      <c r="I57" s="50"/>
      <c r="J57" s="77"/>
      <c r="K57" s="114"/>
      <c r="R57" s="21" t="s">
        <v>18</v>
      </c>
      <c r="S57" s="193"/>
      <c r="T57" s="193"/>
      <c r="U57" s="193">
        <f>1</f>
        <v>1</v>
      </c>
      <c r="V57" s="193"/>
      <c r="W57" s="193"/>
      <c r="X57" s="193"/>
      <c r="Y57" s="193"/>
      <c r="Z57" s="193"/>
      <c r="AA57" s="193"/>
      <c r="AB57" s="194"/>
      <c r="AC57" s="7"/>
      <c r="AD57" s="7"/>
      <c r="AE57" s="7"/>
      <c r="AF57" s="7"/>
      <c r="AG57" s="7"/>
      <c r="AH57" s="7"/>
      <c r="AI57" s="7"/>
      <c r="AJ57" s="7"/>
      <c r="AK57" s="7"/>
    </row>
    <row r="58">
      <c r="A58" s="81" t="s">
        <v>52</v>
      </c>
      <c r="B58" s="89">
        <v>28.0</v>
      </c>
      <c r="C58" s="89">
        <v>30.0</v>
      </c>
      <c r="D58" s="89">
        <v>32.0</v>
      </c>
      <c r="E58" s="89">
        <v>34.0</v>
      </c>
      <c r="F58" s="89">
        <v>36.0</v>
      </c>
      <c r="G58" s="89">
        <v>38.0</v>
      </c>
      <c r="H58" s="89">
        <v>40.0</v>
      </c>
      <c r="I58" s="89"/>
      <c r="J58" s="90"/>
      <c r="K58" s="114"/>
      <c r="R58" s="21" t="s">
        <v>19</v>
      </c>
      <c r="S58" s="193"/>
      <c r="T58" s="193">
        <f>1</f>
        <v>1</v>
      </c>
      <c r="U58" s="193"/>
      <c r="V58" s="193"/>
      <c r="W58" s="193"/>
      <c r="X58" s="193"/>
      <c r="Y58" s="193"/>
      <c r="Z58" s="193"/>
      <c r="AA58" s="193"/>
      <c r="AB58" s="204"/>
      <c r="AC58" s="7"/>
      <c r="AD58" s="7"/>
      <c r="AE58" s="7"/>
      <c r="AF58" s="7"/>
      <c r="AG58" s="7"/>
      <c r="AH58" s="7"/>
      <c r="AI58" s="7"/>
      <c r="AJ58" s="7"/>
      <c r="AK58" s="7"/>
    </row>
    <row r="59">
      <c r="A59" s="81"/>
      <c r="B59" s="112" t="s">
        <v>4</v>
      </c>
      <c r="C59" s="112" t="s">
        <v>53</v>
      </c>
      <c r="D59" s="112" t="s">
        <v>54</v>
      </c>
      <c r="E59" s="112" t="s">
        <v>55</v>
      </c>
      <c r="F59" s="112" t="s">
        <v>56</v>
      </c>
      <c r="G59" s="112" t="s">
        <v>9</v>
      </c>
      <c r="H59" s="112" t="s">
        <v>10</v>
      </c>
      <c r="I59" s="112" t="s">
        <v>11</v>
      </c>
      <c r="J59" s="85" t="s">
        <v>12</v>
      </c>
      <c r="K59" s="119" t="s">
        <v>49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61"/>
      <c r="AC59" s="51"/>
      <c r="AD59" s="7"/>
      <c r="AE59" s="7"/>
      <c r="AF59" s="7"/>
      <c r="AG59" s="7"/>
      <c r="AH59" s="7"/>
      <c r="AI59" s="7"/>
      <c r="AJ59" s="7"/>
      <c r="AK59" s="7"/>
    </row>
    <row r="60">
      <c r="A60" s="84" t="s">
        <v>57</v>
      </c>
      <c r="B60" s="89"/>
      <c r="C60" s="89"/>
      <c r="D60" s="89"/>
      <c r="E60" s="89"/>
      <c r="F60" s="89"/>
      <c r="G60" s="89"/>
      <c r="H60" s="89"/>
      <c r="I60" s="89"/>
      <c r="J60" s="89"/>
      <c r="K60" s="114"/>
    </row>
    <row r="61">
      <c r="A61" s="106" t="s">
        <v>13</v>
      </c>
      <c r="B61" s="89"/>
      <c r="C61" s="89"/>
      <c r="D61" s="89"/>
      <c r="E61" s="89"/>
      <c r="F61" s="89"/>
      <c r="G61" s="89"/>
      <c r="H61" s="89"/>
      <c r="I61" s="89"/>
      <c r="J61" s="89"/>
      <c r="K61" s="114"/>
    </row>
    <row r="62">
      <c r="A62" s="84" t="s">
        <v>61</v>
      </c>
      <c r="B62" s="89"/>
      <c r="C62" s="89"/>
      <c r="D62" s="89"/>
      <c r="E62" s="89"/>
      <c r="F62" s="89"/>
      <c r="G62" s="89"/>
      <c r="H62" s="89"/>
      <c r="I62" s="89"/>
      <c r="J62" s="89"/>
      <c r="K62" s="114"/>
    </row>
    <row r="63">
      <c r="A63" s="106" t="s">
        <v>34</v>
      </c>
      <c r="B63" s="89"/>
      <c r="C63" s="89"/>
      <c r="D63" s="89"/>
      <c r="E63" s="89"/>
      <c r="F63" s="89"/>
      <c r="G63" s="89"/>
      <c r="H63" s="89"/>
      <c r="I63" s="89"/>
      <c r="J63" s="89"/>
      <c r="K63" s="114"/>
    </row>
    <row r="64">
      <c r="A64" s="106" t="s">
        <v>26</v>
      </c>
      <c r="B64" s="89"/>
      <c r="C64" s="89"/>
      <c r="D64" s="89"/>
      <c r="E64" s="89"/>
      <c r="F64" s="89"/>
      <c r="G64" s="89"/>
      <c r="H64" s="89"/>
      <c r="I64" s="89"/>
      <c r="J64" s="89"/>
      <c r="K64" s="114"/>
    </row>
    <row r="65">
      <c r="A65" s="122"/>
      <c r="B65" s="109"/>
      <c r="C65" s="109"/>
      <c r="D65" s="109"/>
      <c r="E65" s="109"/>
      <c r="F65" s="109"/>
      <c r="G65" s="109"/>
      <c r="H65" s="109"/>
      <c r="I65" s="109"/>
      <c r="J65" s="109"/>
      <c r="K65" s="110">
        <f>SUM(K60:K64)</f>
        <v>0</v>
      </c>
      <c r="R65" s="159" t="s">
        <v>111</v>
      </c>
      <c r="S65" s="50"/>
      <c r="T65" s="50"/>
      <c r="U65" s="50"/>
      <c r="V65" s="50"/>
      <c r="W65" s="50"/>
      <c r="X65" s="50"/>
      <c r="Y65" s="50"/>
      <c r="Z65" s="50"/>
      <c r="AA65" s="50"/>
      <c r="AB65" s="51"/>
    </row>
    <row r="66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24"/>
      <c r="R66" s="81"/>
      <c r="S66" s="164" t="s">
        <v>179</v>
      </c>
      <c r="T66" s="50"/>
      <c r="U66" s="50"/>
      <c r="V66" s="50"/>
      <c r="W66" s="50"/>
      <c r="X66" s="50"/>
      <c r="Y66" s="50"/>
      <c r="Z66" s="50"/>
      <c r="AA66" s="51"/>
      <c r="AB66" s="83"/>
    </row>
    <row r="67">
      <c r="A67" s="203" t="s">
        <v>180</v>
      </c>
      <c r="B67" s="50"/>
      <c r="C67" s="50"/>
      <c r="D67" s="50"/>
      <c r="E67" s="50"/>
      <c r="F67" s="50"/>
      <c r="G67" s="50"/>
      <c r="H67" s="50"/>
      <c r="I67" s="50"/>
      <c r="J67" s="50"/>
      <c r="K67" s="51"/>
      <c r="R67" s="81" t="s">
        <v>52</v>
      </c>
      <c r="S67" s="89">
        <v>28.0</v>
      </c>
      <c r="T67" s="89">
        <v>30.0</v>
      </c>
      <c r="U67" s="89">
        <v>32.0</v>
      </c>
      <c r="V67" s="89">
        <v>34.0</v>
      </c>
      <c r="W67" s="89">
        <v>36.0</v>
      </c>
      <c r="X67" s="89">
        <v>38.0</v>
      </c>
      <c r="Y67" s="89">
        <v>40.0</v>
      </c>
      <c r="Z67" s="89"/>
      <c r="AA67" s="90"/>
      <c r="AB67" s="83"/>
    </row>
    <row r="68">
      <c r="A68" s="81"/>
      <c r="B68" s="82" t="s">
        <v>1</v>
      </c>
      <c r="C68" s="50"/>
      <c r="D68" s="50"/>
      <c r="E68" s="50"/>
      <c r="F68" s="50"/>
      <c r="G68" s="50"/>
      <c r="H68" s="50"/>
      <c r="I68" s="50"/>
      <c r="J68" s="51"/>
      <c r="K68" s="124"/>
      <c r="R68" s="81"/>
      <c r="S68" s="112" t="s">
        <v>4</v>
      </c>
      <c r="T68" s="112" t="s">
        <v>53</v>
      </c>
      <c r="U68" s="112" t="s">
        <v>54</v>
      </c>
      <c r="V68" s="112" t="s">
        <v>55</v>
      </c>
      <c r="W68" s="112" t="s">
        <v>56</v>
      </c>
      <c r="X68" s="112" t="s">
        <v>9</v>
      </c>
      <c r="Y68" s="112" t="s">
        <v>10</v>
      </c>
      <c r="Z68" s="112" t="s">
        <v>11</v>
      </c>
      <c r="AA68" s="85" t="s">
        <v>12</v>
      </c>
      <c r="AB68" s="134" t="s">
        <v>49</v>
      </c>
    </row>
    <row r="69">
      <c r="A69" s="81" t="s">
        <v>52</v>
      </c>
      <c r="B69" s="89">
        <v>28.0</v>
      </c>
      <c r="C69" s="89">
        <v>30.0</v>
      </c>
      <c r="D69" s="89">
        <v>32.0</v>
      </c>
      <c r="E69" s="89">
        <v>34.0</v>
      </c>
      <c r="F69" s="89">
        <v>36.0</v>
      </c>
      <c r="G69" s="89">
        <v>38.0</v>
      </c>
      <c r="H69" s="89">
        <v>40.0</v>
      </c>
      <c r="I69" s="89"/>
      <c r="J69" s="89"/>
      <c r="K69" s="114"/>
      <c r="R69" s="106" t="s">
        <v>22</v>
      </c>
      <c r="S69" s="89">
        <f t="shared" ref="S69:S70" si="3">1</f>
        <v>1</v>
      </c>
      <c r="T69" s="89"/>
      <c r="U69" s="89"/>
      <c r="V69" s="89">
        <f t="shared" ref="V69:V70" si="4">1</f>
        <v>1</v>
      </c>
      <c r="W69" s="89"/>
      <c r="X69" s="89"/>
      <c r="Y69" s="89"/>
      <c r="Z69" s="89"/>
      <c r="AA69" s="89"/>
      <c r="AB69" s="83"/>
    </row>
    <row r="70">
      <c r="A70" s="81"/>
      <c r="B70" s="112" t="s">
        <v>4</v>
      </c>
      <c r="C70" s="112" t="s">
        <v>53</v>
      </c>
      <c r="D70" s="112" t="s">
        <v>54</v>
      </c>
      <c r="E70" s="112" t="s">
        <v>55</v>
      </c>
      <c r="F70" s="112" t="s">
        <v>56</v>
      </c>
      <c r="G70" s="112" t="s">
        <v>9</v>
      </c>
      <c r="H70" s="112" t="s">
        <v>10</v>
      </c>
      <c r="I70" s="112" t="s">
        <v>11</v>
      </c>
      <c r="J70" s="112" t="s">
        <v>12</v>
      </c>
      <c r="K70" s="119" t="s">
        <v>49</v>
      </c>
      <c r="R70" s="84" t="s">
        <v>27</v>
      </c>
      <c r="S70" s="89">
        <f t="shared" si="3"/>
        <v>1</v>
      </c>
      <c r="T70" s="89"/>
      <c r="U70" s="89"/>
      <c r="V70" s="89">
        <f t="shared" si="4"/>
        <v>1</v>
      </c>
      <c r="W70" s="89"/>
      <c r="X70" s="89"/>
      <c r="Y70" s="89"/>
      <c r="Z70" s="89"/>
      <c r="AA70" s="89"/>
      <c r="AB70" s="83"/>
    </row>
    <row r="71">
      <c r="A71" s="84" t="s">
        <v>57</v>
      </c>
      <c r="B71" s="89"/>
      <c r="C71" s="89"/>
      <c r="D71" s="89"/>
      <c r="E71" s="89"/>
      <c r="F71" s="89"/>
      <c r="G71" s="89"/>
      <c r="H71" s="89"/>
      <c r="I71" s="89"/>
      <c r="J71" s="89"/>
      <c r="K71" s="114"/>
      <c r="R71" s="108"/>
      <c r="S71" s="109"/>
      <c r="T71" s="109"/>
      <c r="U71" s="109"/>
      <c r="V71" s="109"/>
      <c r="W71" s="109"/>
      <c r="X71" s="109"/>
      <c r="Y71" s="109"/>
      <c r="Z71" s="109"/>
      <c r="AA71" s="109"/>
      <c r="AB71" s="116">
        <f>SUM(AB69:AB70)</f>
        <v>0</v>
      </c>
    </row>
    <row r="72">
      <c r="A72" s="84" t="s">
        <v>69</v>
      </c>
      <c r="B72" s="89"/>
      <c r="C72" s="89"/>
      <c r="D72" s="89"/>
      <c r="E72" s="89"/>
      <c r="F72" s="89"/>
      <c r="G72" s="89"/>
      <c r="H72" s="89"/>
      <c r="I72" s="89"/>
      <c r="J72" s="89"/>
      <c r="K72" s="114"/>
      <c r="AB72" s="124"/>
    </row>
    <row r="73">
      <c r="A73" s="108"/>
      <c r="B73" s="109"/>
      <c r="C73" s="109"/>
      <c r="D73" s="109"/>
      <c r="E73" s="109"/>
      <c r="F73" s="109"/>
      <c r="G73" s="109"/>
      <c r="H73" s="109"/>
      <c r="I73" s="109"/>
      <c r="J73" s="109"/>
      <c r="K73" s="110">
        <f>SUM(K71:K72)</f>
        <v>0</v>
      </c>
      <c r="R73" s="159" t="s">
        <v>111</v>
      </c>
      <c r="S73" s="50"/>
      <c r="T73" s="50"/>
      <c r="U73" s="50"/>
      <c r="V73" s="50"/>
      <c r="W73" s="50"/>
      <c r="X73" s="50"/>
      <c r="Y73" s="50"/>
      <c r="Z73" s="50"/>
      <c r="AA73" s="50"/>
      <c r="AB73" s="51"/>
    </row>
    <row r="74">
      <c r="A74" s="203" t="s">
        <v>181</v>
      </c>
      <c r="B74" s="50"/>
      <c r="C74" s="50"/>
      <c r="D74" s="50"/>
      <c r="E74" s="50"/>
      <c r="F74" s="50"/>
      <c r="G74" s="50"/>
      <c r="H74" s="50"/>
      <c r="I74" s="50"/>
      <c r="J74" s="50"/>
      <c r="K74" s="51"/>
      <c r="R74" s="81"/>
      <c r="S74" s="164" t="s">
        <v>182</v>
      </c>
      <c r="T74" s="50"/>
      <c r="U74" s="50"/>
      <c r="V74" s="50"/>
      <c r="W74" s="50"/>
      <c r="X74" s="50"/>
      <c r="Y74" s="50"/>
      <c r="Z74" s="50"/>
      <c r="AA74" s="51"/>
      <c r="AB74" s="83"/>
    </row>
    <row r="75">
      <c r="A75" s="81"/>
      <c r="B75" s="82" t="s">
        <v>2</v>
      </c>
      <c r="C75" s="50"/>
      <c r="D75" s="50"/>
      <c r="E75" s="50"/>
      <c r="F75" s="50"/>
      <c r="G75" s="50"/>
      <c r="H75" s="50"/>
      <c r="I75" s="50"/>
      <c r="J75" s="77"/>
      <c r="K75" s="114"/>
      <c r="R75" s="81" t="s">
        <v>52</v>
      </c>
      <c r="S75" s="89">
        <v>28.0</v>
      </c>
      <c r="T75" s="89">
        <v>30.0</v>
      </c>
      <c r="U75" s="89">
        <v>32.0</v>
      </c>
      <c r="V75" s="89">
        <v>34.0</v>
      </c>
      <c r="W75" s="89">
        <v>36.0</v>
      </c>
      <c r="X75" s="89">
        <v>38.0</v>
      </c>
      <c r="Y75" s="89">
        <v>40.0</v>
      </c>
      <c r="Z75" s="89"/>
      <c r="AA75" s="90"/>
      <c r="AB75" s="83"/>
    </row>
    <row r="76">
      <c r="A76" s="81" t="s">
        <v>52</v>
      </c>
      <c r="B76" s="89">
        <v>28.0</v>
      </c>
      <c r="C76" s="89">
        <v>30.0</v>
      </c>
      <c r="D76" s="89">
        <v>32.0</v>
      </c>
      <c r="E76" s="89">
        <v>34.0</v>
      </c>
      <c r="F76" s="89">
        <v>36.0</v>
      </c>
      <c r="G76" s="89">
        <v>38.0</v>
      </c>
      <c r="H76" s="89">
        <v>40.0</v>
      </c>
      <c r="I76" s="89"/>
      <c r="J76" s="90"/>
      <c r="K76" s="114"/>
      <c r="R76" s="81"/>
      <c r="S76" s="112" t="s">
        <v>4</v>
      </c>
      <c r="T76" s="112" t="s">
        <v>53</v>
      </c>
      <c r="U76" s="112" t="s">
        <v>54</v>
      </c>
      <c r="V76" s="112" t="s">
        <v>55</v>
      </c>
      <c r="W76" s="112" t="s">
        <v>56</v>
      </c>
      <c r="X76" s="112" t="s">
        <v>9</v>
      </c>
      <c r="Y76" s="112" t="s">
        <v>10</v>
      </c>
      <c r="Z76" s="112" t="s">
        <v>11</v>
      </c>
      <c r="AA76" s="85" t="s">
        <v>12</v>
      </c>
      <c r="AB76" s="134" t="s">
        <v>49</v>
      </c>
    </row>
    <row r="77">
      <c r="A77" s="81"/>
      <c r="B77" s="112" t="s">
        <v>4</v>
      </c>
      <c r="C77" s="112" t="s">
        <v>53</v>
      </c>
      <c r="D77" s="112" t="s">
        <v>54</v>
      </c>
      <c r="E77" s="112" t="s">
        <v>55</v>
      </c>
      <c r="F77" s="112" t="s">
        <v>56</v>
      </c>
      <c r="G77" s="112" t="s">
        <v>9</v>
      </c>
      <c r="H77" s="112" t="s">
        <v>10</v>
      </c>
      <c r="I77" s="112" t="s">
        <v>11</v>
      </c>
      <c r="J77" s="85" t="s">
        <v>12</v>
      </c>
      <c r="K77" s="119" t="s">
        <v>49</v>
      </c>
      <c r="R77" s="106" t="s">
        <v>146</v>
      </c>
      <c r="S77" s="89">
        <f t="shared" ref="S77:T77" si="5">0</f>
        <v>0</v>
      </c>
      <c r="T77" s="89">
        <f t="shared" si="5"/>
        <v>0</v>
      </c>
      <c r="U77" s="89">
        <f>1</f>
        <v>1</v>
      </c>
      <c r="V77" s="89">
        <f t="shared" ref="V77:AA77" si="6">0</f>
        <v>0</v>
      </c>
      <c r="W77" s="89">
        <f t="shared" si="6"/>
        <v>0</v>
      </c>
      <c r="X77" s="89">
        <f t="shared" si="6"/>
        <v>0</v>
      </c>
      <c r="Y77" s="89">
        <f t="shared" si="6"/>
        <v>0</v>
      </c>
      <c r="Z77" s="89">
        <f t="shared" si="6"/>
        <v>0</v>
      </c>
      <c r="AA77" s="89">
        <f t="shared" si="6"/>
        <v>0</v>
      </c>
      <c r="AB77" s="161">
        <f t="shared" ref="AB77:AB78" si="10">SUM(S77:AA77)</f>
        <v>1</v>
      </c>
    </row>
    <row r="78">
      <c r="A78" s="84" t="s">
        <v>57</v>
      </c>
      <c r="B78" s="89">
        <f>0+1-1</f>
        <v>0</v>
      </c>
      <c r="C78" s="89">
        <f t="shared" ref="C78:D78" si="7">0+2-2</f>
        <v>0</v>
      </c>
      <c r="D78" s="89">
        <f t="shared" si="7"/>
        <v>0</v>
      </c>
      <c r="E78" s="89">
        <f>0+2-1+1-2</f>
        <v>0</v>
      </c>
      <c r="F78" s="89">
        <f>0+3-3</f>
        <v>0</v>
      </c>
      <c r="G78" s="89">
        <f>0</f>
        <v>0</v>
      </c>
      <c r="H78" s="89">
        <f>0+1-1</f>
        <v>0</v>
      </c>
      <c r="I78" s="89">
        <f t="shared" ref="I78:J78" si="8">0</f>
        <v>0</v>
      </c>
      <c r="J78" s="89">
        <f t="shared" si="8"/>
        <v>0</v>
      </c>
      <c r="K78" s="114">
        <f t="shared" ref="K78:K79" si="13">SUM(B78:J78)</f>
        <v>0</v>
      </c>
      <c r="R78" s="84" t="s">
        <v>147</v>
      </c>
      <c r="S78" s="89">
        <f>0</f>
        <v>0</v>
      </c>
      <c r="T78" s="100">
        <f>1</f>
        <v>1</v>
      </c>
      <c r="U78" s="89">
        <f t="shared" ref="U78:AA78" si="9">0</f>
        <v>0</v>
      </c>
      <c r="V78" s="89">
        <f t="shared" si="9"/>
        <v>0</v>
      </c>
      <c r="W78" s="89">
        <f t="shared" si="9"/>
        <v>0</v>
      </c>
      <c r="X78" s="89">
        <f t="shared" si="9"/>
        <v>0</v>
      </c>
      <c r="Y78" s="89">
        <f t="shared" si="9"/>
        <v>0</v>
      </c>
      <c r="Z78" s="89">
        <f t="shared" si="9"/>
        <v>0</v>
      </c>
      <c r="AA78" s="89">
        <f t="shared" si="9"/>
        <v>0</v>
      </c>
      <c r="AB78" s="161">
        <f t="shared" si="10"/>
        <v>1</v>
      </c>
    </row>
    <row r="79">
      <c r="A79" s="84" t="s">
        <v>69</v>
      </c>
      <c r="B79" s="89">
        <f t="shared" ref="B79:C79" si="11">0+1</f>
        <v>1</v>
      </c>
      <c r="C79" s="89">
        <f t="shared" si="11"/>
        <v>1</v>
      </c>
      <c r="D79" s="89">
        <f>0+5+3</f>
        <v>8</v>
      </c>
      <c r="E79" s="89">
        <f>0+1-1+1-1+1+1</f>
        <v>2</v>
      </c>
      <c r="F79" s="89">
        <f>0+3+1</f>
        <v>4</v>
      </c>
      <c r="G79" s="89">
        <f>0+3</f>
        <v>3</v>
      </c>
      <c r="H79" s="89">
        <f>0+2-1</f>
        <v>1</v>
      </c>
      <c r="I79" s="89">
        <f t="shared" ref="I79:J79" si="12">0</f>
        <v>0</v>
      </c>
      <c r="J79" s="89">
        <f t="shared" si="12"/>
        <v>0</v>
      </c>
      <c r="K79" s="114">
        <f t="shared" si="13"/>
        <v>20</v>
      </c>
      <c r="R79" s="108"/>
      <c r="S79" s="109"/>
      <c r="T79" s="109"/>
      <c r="U79" s="109"/>
      <c r="V79" s="109"/>
      <c r="W79" s="109"/>
      <c r="X79" s="109"/>
      <c r="Y79" s="109"/>
      <c r="Z79" s="109"/>
      <c r="AA79" s="109"/>
      <c r="AB79" s="118">
        <f>SUM(AB77:AB78)</f>
        <v>2</v>
      </c>
    </row>
    <row r="80">
      <c r="A80" s="108"/>
      <c r="B80" s="109"/>
      <c r="C80" s="109"/>
      <c r="D80" s="109"/>
      <c r="E80" s="109"/>
      <c r="F80" s="109"/>
      <c r="G80" s="109"/>
      <c r="H80" s="109"/>
      <c r="I80" s="109"/>
      <c r="J80" s="109"/>
      <c r="K80" s="105">
        <f>SUM(K78:K79)</f>
        <v>20</v>
      </c>
      <c r="AB80" s="124"/>
    </row>
    <row r="81">
      <c r="A81" s="108"/>
      <c r="B81" s="109"/>
      <c r="C81" s="109"/>
      <c r="D81" s="109"/>
      <c r="E81" s="109"/>
      <c r="F81" s="109"/>
      <c r="G81" s="109"/>
      <c r="H81" s="109"/>
      <c r="I81" s="109"/>
      <c r="J81" s="109"/>
      <c r="K81" s="79"/>
      <c r="R81" s="159" t="s">
        <v>111</v>
      </c>
      <c r="S81" s="50"/>
      <c r="T81" s="50"/>
      <c r="U81" s="50"/>
      <c r="V81" s="50"/>
      <c r="W81" s="50"/>
      <c r="X81" s="50"/>
      <c r="Y81" s="50"/>
      <c r="Z81" s="50"/>
      <c r="AA81" s="50"/>
      <c r="AB81" s="51"/>
    </row>
    <row r="82">
      <c r="A82" s="203" t="s">
        <v>183</v>
      </c>
      <c r="B82" s="50"/>
      <c r="C82" s="50"/>
      <c r="D82" s="50"/>
      <c r="E82" s="50"/>
      <c r="F82" s="50"/>
      <c r="G82" s="50"/>
      <c r="H82" s="50"/>
      <c r="I82" s="50"/>
      <c r="J82" s="50"/>
      <c r="K82" s="51"/>
      <c r="R82" s="81"/>
      <c r="S82" s="164" t="s">
        <v>184</v>
      </c>
      <c r="T82" s="50"/>
      <c r="U82" s="50"/>
      <c r="V82" s="50"/>
      <c r="W82" s="50"/>
      <c r="X82" s="50"/>
      <c r="Y82" s="50"/>
      <c r="Z82" s="50"/>
      <c r="AA82" s="51"/>
      <c r="AB82" s="83"/>
    </row>
    <row r="83">
      <c r="A83" s="81"/>
      <c r="B83" s="82" t="s">
        <v>1</v>
      </c>
      <c r="C83" s="50"/>
      <c r="D83" s="50"/>
      <c r="E83" s="50"/>
      <c r="F83" s="50"/>
      <c r="G83" s="50"/>
      <c r="H83" s="50"/>
      <c r="I83" s="50"/>
      <c r="J83" s="51"/>
      <c r="K83" s="114"/>
      <c r="R83" s="81" t="s">
        <v>52</v>
      </c>
      <c r="S83" s="81"/>
      <c r="T83" s="89">
        <v>28.0</v>
      </c>
      <c r="U83" s="89">
        <v>30.0</v>
      </c>
      <c r="V83" s="89">
        <v>32.0</v>
      </c>
      <c r="W83" s="89">
        <v>34.0</v>
      </c>
      <c r="X83" s="89">
        <v>36.0</v>
      </c>
      <c r="Y83" s="89">
        <v>38.0</v>
      </c>
      <c r="Z83" s="89">
        <v>40.0</v>
      </c>
      <c r="AA83" s="89"/>
      <c r="AB83" s="90"/>
      <c r="AC83" s="83"/>
    </row>
    <row r="84">
      <c r="A84" s="81" t="s">
        <v>52</v>
      </c>
      <c r="B84" s="89">
        <v>28.0</v>
      </c>
      <c r="C84" s="89">
        <v>30.0</v>
      </c>
      <c r="D84" s="89">
        <v>32.0</v>
      </c>
      <c r="E84" s="89">
        <v>34.0</v>
      </c>
      <c r="F84" s="89">
        <v>36.0</v>
      </c>
      <c r="G84" s="89">
        <v>38.0</v>
      </c>
      <c r="H84" s="89">
        <v>40.0</v>
      </c>
      <c r="I84" s="89"/>
      <c r="J84" s="89"/>
      <c r="K84" s="114"/>
      <c r="R84" s="81"/>
      <c r="S84" s="112" t="s">
        <v>149</v>
      </c>
      <c r="T84" s="112" t="s">
        <v>4</v>
      </c>
      <c r="U84" s="112" t="s">
        <v>53</v>
      </c>
      <c r="V84" s="112" t="s">
        <v>54</v>
      </c>
      <c r="W84" s="112" t="s">
        <v>55</v>
      </c>
      <c r="X84" s="112" t="s">
        <v>56</v>
      </c>
      <c r="Y84" s="112" t="s">
        <v>9</v>
      </c>
      <c r="Z84" s="112" t="s">
        <v>10</v>
      </c>
      <c r="AA84" s="112" t="s">
        <v>11</v>
      </c>
      <c r="AB84" s="85" t="s">
        <v>12</v>
      </c>
      <c r="AC84" s="134" t="s">
        <v>49</v>
      </c>
    </row>
    <row r="85">
      <c r="A85" s="81"/>
      <c r="B85" s="112" t="s">
        <v>4</v>
      </c>
      <c r="C85" s="112" t="s">
        <v>53</v>
      </c>
      <c r="D85" s="112" t="s">
        <v>54</v>
      </c>
      <c r="E85" s="112" t="s">
        <v>55</v>
      </c>
      <c r="F85" s="112" t="s">
        <v>56</v>
      </c>
      <c r="G85" s="112" t="s">
        <v>9</v>
      </c>
      <c r="H85" s="112" t="s">
        <v>10</v>
      </c>
      <c r="I85" s="112" t="s">
        <v>11</v>
      </c>
      <c r="J85" s="112" t="s">
        <v>12</v>
      </c>
      <c r="K85" s="119" t="s">
        <v>49</v>
      </c>
      <c r="R85" s="106" t="s">
        <v>146</v>
      </c>
      <c r="S85" s="205">
        <f t="shared" ref="S85:T85" si="14">0</f>
        <v>0</v>
      </c>
      <c r="T85" s="205">
        <f t="shared" si="14"/>
        <v>0</v>
      </c>
      <c r="U85" s="205">
        <f>0+1+1-2+1+1-1</f>
        <v>1</v>
      </c>
      <c r="V85" s="205">
        <f t="shared" ref="V85:AB85" si="15">0</f>
        <v>0</v>
      </c>
      <c r="W85" s="205">
        <f t="shared" si="15"/>
        <v>0</v>
      </c>
      <c r="X85" s="205">
        <f t="shared" si="15"/>
        <v>0</v>
      </c>
      <c r="Y85" s="205">
        <f t="shared" si="15"/>
        <v>0</v>
      </c>
      <c r="Z85" s="205">
        <f t="shared" si="15"/>
        <v>0</v>
      </c>
      <c r="AA85" s="205">
        <f t="shared" si="15"/>
        <v>0</v>
      </c>
      <c r="AB85" s="205">
        <f t="shared" si="15"/>
        <v>0</v>
      </c>
      <c r="AC85" s="161"/>
    </row>
    <row r="86">
      <c r="A86" s="84" t="s">
        <v>57</v>
      </c>
      <c r="B86" s="89"/>
      <c r="C86" s="89"/>
      <c r="D86" s="89"/>
      <c r="E86" s="89"/>
      <c r="F86" s="89"/>
      <c r="G86" s="89"/>
      <c r="H86" s="89"/>
      <c r="I86" s="89"/>
      <c r="J86" s="89"/>
      <c r="K86" s="114"/>
      <c r="R86" s="84" t="s">
        <v>147</v>
      </c>
      <c r="S86" s="205">
        <f t="shared" ref="S86:U86" si="16">0</f>
        <v>0</v>
      </c>
      <c r="T86" s="205">
        <f t="shared" si="16"/>
        <v>0</v>
      </c>
      <c r="U86" s="205">
        <f t="shared" si="16"/>
        <v>0</v>
      </c>
      <c r="V86" s="205">
        <f>0+1</f>
        <v>1</v>
      </c>
      <c r="W86" s="205">
        <f t="shared" ref="W86:AB86" si="17">0</f>
        <v>0</v>
      </c>
      <c r="X86" s="205">
        <f t="shared" si="17"/>
        <v>0</v>
      </c>
      <c r="Y86" s="205">
        <f t="shared" si="17"/>
        <v>0</v>
      </c>
      <c r="Z86" s="205">
        <f t="shared" si="17"/>
        <v>0</v>
      </c>
      <c r="AA86" s="205">
        <f t="shared" si="17"/>
        <v>0</v>
      </c>
      <c r="AB86" s="205">
        <f t="shared" si="17"/>
        <v>0</v>
      </c>
      <c r="AC86" s="161"/>
    </row>
    <row r="87">
      <c r="A87" s="106" t="s">
        <v>13</v>
      </c>
      <c r="B87" s="89"/>
      <c r="C87" s="89"/>
      <c r="D87" s="89"/>
      <c r="E87" s="89"/>
      <c r="F87" s="89">
        <f>1-1</f>
        <v>0</v>
      </c>
      <c r="G87" s="89"/>
      <c r="H87" s="89"/>
      <c r="I87" s="89"/>
      <c r="J87" s="89"/>
      <c r="K87" s="114"/>
      <c r="R87" s="108"/>
      <c r="S87" s="109"/>
      <c r="T87" s="109"/>
      <c r="U87" s="109"/>
      <c r="V87" s="109"/>
      <c r="W87" s="132"/>
      <c r="X87" s="109"/>
      <c r="Y87" s="109"/>
      <c r="Z87" s="109"/>
      <c r="AA87" s="109"/>
      <c r="AC87" s="118">
        <f>SUM(AC85:AC86)</f>
        <v>0</v>
      </c>
    </row>
    <row r="88">
      <c r="A88" s="84" t="s">
        <v>14</v>
      </c>
      <c r="B88" s="89"/>
      <c r="C88" s="89"/>
      <c r="D88" s="89">
        <f>1-1</f>
        <v>0</v>
      </c>
      <c r="E88" s="89"/>
      <c r="F88" s="89"/>
      <c r="G88" s="89"/>
      <c r="H88" s="89"/>
      <c r="I88" s="89"/>
      <c r="J88" s="89"/>
      <c r="K88" s="114"/>
      <c r="AB88" s="124"/>
    </row>
    <row r="89">
      <c r="A89" s="106" t="s">
        <v>78</v>
      </c>
      <c r="B89" s="89"/>
      <c r="C89" s="89"/>
      <c r="D89" s="89"/>
      <c r="E89" s="89"/>
      <c r="F89" s="89"/>
      <c r="G89" s="89"/>
      <c r="H89" s="89"/>
      <c r="I89" s="89"/>
      <c r="J89" s="89"/>
      <c r="K89" s="114"/>
      <c r="R89" s="159" t="s">
        <v>111</v>
      </c>
      <c r="S89" s="50"/>
      <c r="T89" s="50"/>
      <c r="U89" s="50"/>
      <c r="V89" s="50"/>
      <c r="W89" s="50"/>
      <c r="X89" s="50"/>
      <c r="Y89" s="50"/>
      <c r="Z89" s="50"/>
      <c r="AA89" s="50"/>
      <c r="AB89" s="51"/>
    </row>
    <row r="90">
      <c r="A90" s="106" t="s">
        <v>17</v>
      </c>
      <c r="B90" s="89"/>
      <c r="C90" s="89"/>
      <c r="D90" s="89"/>
      <c r="E90" s="89"/>
      <c r="F90" s="89"/>
      <c r="G90" s="89"/>
      <c r="H90" s="89"/>
      <c r="I90" s="89"/>
      <c r="J90" s="89"/>
      <c r="K90" s="114"/>
      <c r="R90" s="81"/>
      <c r="S90" s="164" t="s">
        <v>185</v>
      </c>
      <c r="T90" s="50"/>
      <c r="U90" s="50"/>
      <c r="V90" s="50"/>
      <c r="W90" s="50"/>
      <c r="X90" s="50"/>
      <c r="Y90" s="50"/>
      <c r="Z90" s="50"/>
      <c r="AA90" s="51"/>
      <c r="AB90" s="83"/>
    </row>
    <row r="91">
      <c r="A91" s="108"/>
      <c r="B91" s="109"/>
      <c r="C91" s="109"/>
      <c r="D91" s="109"/>
      <c r="E91" s="109"/>
      <c r="F91" s="109"/>
      <c r="G91" s="109"/>
      <c r="H91" s="109"/>
      <c r="I91" s="109"/>
      <c r="J91" s="109"/>
      <c r="K91" s="110">
        <f>SUM(K86:K90)</f>
        <v>0</v>
      </c>
      <c r="R91" s="81" t="s">
        <v>52</v>
      </c>
      <c r="S91" s="81"/>
      <c r="T91" s="89">
        <v>28.0</v>
      </c>
      <c r="U91" s="89">
        <v>30.0</v>
      </c>
      <c r="V91" s="89">
        <v>32.0</v>
      </c>
      <c r="W91" s="89">
        <v>34.0</v>
      </c>
      <c r="X91" s="89">
        <v>36.0</v>
      </c>
      <c r="Y91" s="89">
        <v>38.0</v>
      </c>
      <c r="Z91" s="89">
        <v>40.0</v>
      </c>
      <c r="AA91" s="89"/>
      <c r="AB91" s="90"/>
      <c r="AC91" s="83"/>
    </row>
    <row r="92">
      <c r="A92" s="203" t="s">
        <v>186</v>
      </c>
      <c r="B92" s="50"/>
      <c r="C92" s="50"/>
      <c r="D92" s="50"/>
      <c r="E92" s="50"/>
      <c r="F92" s="50"/>
      <c r="G92" s="50"/>
      <c r="H92" s="50"/>
      <c r="I92" s="50"/>
      <c r="J92" s="50"/>
      <c r="K92" s="51"/>
      <c r="R92" s="81"/>
      <c r="S92" s="112" t="s">
        <v>149</v>
      </c>
      <c r="T92" s="112" t="s">
        <v>4</v>
      </c>
      <c r="U92" s="112" t="s">
        <v>53</v>
      </c>
      <c r="V92" s="112" t="s">
        <v>54</v>
      </c>
      <c r="W92" s="112" t="s">
        <v>55</v>
      </c>
      <c r="X92" s="112" t="s">
        <v>56</v>
      </c>
      <c r="Y92" s="112" t="s">
        <v>9</v>
      </c>
      <c r="Z92" s="112" t="s">
        <v>10</v>
      </c>
      <c r="AA92" s="112" t="s">
        <v>11</v>
      </c>
      <c r="AB92" s="85" t="s">
        <v>12</v>
      </c>
      <c r="AC92" s="134" t="s">
        <v>49</v>
      </c>
    </row>
    <row r="93">
      <c r="A93" s="81"/>
      <c r="B93" s="82" t="s">
        <v>2</v>
      </c>
      <c r="C93" s="50"/>
      <c r="D93" s="50"/>
      <c r="E93" s="50"/>
      <c r="F93" s="50"/>
      <c r="G93" s="50"/>
      <c r="H93" s="50"/>
      <c r="I93" s="50"/>
      <c r="J93" s="77"/>
      <c r="K93" s="114"/>
      <c r="R93" s="106" t="s">
        <v>146</v>
      </c>
      <c r="S93" s="205">
        <f t="shared" ref="S93:S94" si="20">0</f>
        <v>0</v>
      </c>
      <c r="T93" s="205">
        <f t="shared" ref="T93:U93" si="18">0+1</f>
        <v>1</v>
      </c>
      <c r="U93" s="205">
        <f t="shared" si="18"/>
        <v>1</v>
      </c>
      <c r="V93" s="205">
        <f t="shared" ref="V93:AB93" si="19">0</f>
        <v>0</v>
      </c>
      <c r="W93" s="205">
        <f t="shared" si="19"/>
        <v>0</v>
      </c>
      <c r="X93" s="205">
        <f t="shared" si="19"/>
        <v>0</v>
      </c>
      <c r="Y93" s="205">
        <f t="shared" si="19"/>
        <v>0</v>
      </c>
      <c r="Z93" s="205">
        <f t="shared" si="19"/>
        <v>0</v>
      </c>
      <c r="AA93" s="205">
        <f t="shared" si="19"/>
        <v>0</v>
      </c>
      <c r="AB93" s="89">
        <f t="shared" si="19"/>
        <v>0</v>
      </c>
      <c r="AC93" s="161">
        <f t="shared" ref="AC93:AC94" si="22">SUM(S93:AB93)</f>
        <v>2</v>
      </c>
    </row>
    <row r="94">
      <c r="A94" s="81" t="s">
        <v>52</v>
      </c>
      <c r="B94" s="89">
        <v>28.0</v>
      </c>
      <c r="C94" s="89">
        <v>30.0</v>
      </c>
      <c r="D94" s="89">
        <v>32.0</v>
      </c>
      <c r="E94" s="89">
        <v>34.0</v>
      </c>
      <c r="F94" s="89">
        <v>36.0</v>
      </c>
      <c r="G94" s="89">
        <v>38.0</v>
      </c>
      <c r="H94" s="89">
        <v>40.0</v>
      </c>
      <c r="I94" s="89"/>
      <c r="J94" s="90"/>
      <c r="K94" s="114"/>
      <c r="R94" s="84" t="s">
        <v>147</v>
      </c>
      <c r="S94" s="205">
        <f t="shared" si="20"/>
        <v>0</v>
      </c>
      <c r="T94" s="205">
        <f>0+1</f>
        <v>1</v>
      </c>
      <c r="U94" s="205">
        <f>0+1-1</f>
        <v>0</v>
      </c>
      <c r="V94" s="205">
        <f>0</f>
        <v>0</v>
      </c>
      <c r="W94" s="205">
        <f>0+1</f>
        <v>1</v>
      </c>
      <c r="X94" s="205">
        <f t="shared" ref="X94:AB94" si="21">0</f>
        <v>0</v>
      </c>
      <c r="Y94" s="205">
        <f t="shared" si="21"/>
        <v>0</v>
      </c>
      <c r="Z94" s="205">
        <f t="shared" si="21"/>
        <v>0</v>
      </c>
      <c r="AA94" s="205">
        <f t="shared" si="21"/>
        <v>0</v>
      </c>
      <c r="AB94" s="89">
        <f t="shared" si="21"/>
        <v>0</v>
      </c>
      <c r="AC94" s="161">
        <f t="shared" si="22"/>
        <v>2</v>
      </c>
    </row>
    <row r="95">
      <c r="A95" s="81"/>
      <c r="B95" s="112" t="s">
        <v>4</v>
      </c>
      <c r="C95" s="112" t="s">
        <v>53</v>
      </c>
      <c r="D95" s="112" t="s">
        <v>54</v>
      </c>
      <c r="E95" s="112" t="s">
        <v>55</v>
      </c>
      <c r="F95" s="112" t="s">
        <v>56</v>
      </c>
      <c r="G95" s="112" t="s">
        <v>9</v>
      </c>
      <c r="H95" s="112" t="s">
        <v>10</v>
      </c>
      <c r="I95" s="112" t="s">
        <v>11</v>
      </c>
      <c r="J95" s="85" t="s">
        <v>12</v>
      </c>
      <c r="K95" s="119" t="s">
        <v>49</v>
      </c>
      <c r="R95" s="108"/>
      <c r="S95" s="109"/>
      <c r="T95" s="109"/>
      <c r="U95" s="109"/>
      <c r="V95" s="109"/>
      <c r="W95" s="109"/>
      <c r="X95" s="109"/>
      <c r="Y95" s="109"/>
      <c r="Z95" s="109"/>
      <c r="AA95" s="109"/>
      <c r="AC95" s="118">
        <f>SUM(AC93:AC94)</f>
        <v>4</v>
      </c>
    </row>
    <row r="96">
      <c r="A96" s="84" t="s">
        <v>57</v>
      </c>
      <c r="B96" s="89"/>
      <c r="C96" s="89"/>
      <c r="D96" s="89"/>
      <c r="E96" s="89"/>
      <c r="F96" s="89"/>
      <c r="G96" s="89"/>
      <c r="H96" s="89"/>
      <c r="I96" s="89"/>
      <c r="J96" s="89"/>
      <c r="K96" s="114"/>
      <c r="AB96" s="170"/>
    </row>
    <row r="97">
      <c r="A97" s="106" t="s">
        <v>13</v>
      </c>
      <c r="B97" s="89"/>
      <c r="C97" s="89"/>
      <c r="D97" s="89"/>
      <c r="E97" s="89"/>
      <c r="F97" s="89"/>
      <c r="G97" s="89"/>
      <c r="H97" s="89"/>
      <c r="I97" s="89"/>
      <c r="J97" s="89"/>
      <c r="K97" s="114"/>
      <c r="AB97" s="124"/>
    </row>
    <row r="98">
      <c r="A98" s="84" t="s">
        <v>14</v>
      </c>
      <c r="B98" s="89"/>
      <c r="C98" s="89"/>
      <c r="D98" s="89"/>
      <c r="E98" s="89"/>
      <c r="F98" s="89"/>
      <c r="G98" s="89"/>
      <c r="H98" s="89"/>
      <c r="I98" s="89"/>
      <c r="J98" s="89"/>
      <c r="K98" s="114"/>
      <c r="R98" s="159" t="s">
        <v>111</v>
      </c>
      <c r="S98" s="50"/>
      <c r="T98" s="50"/>
      <c r="U98" s="50"/>
      <c r="V98" s="50"/>
      <c r="W98" s="50"/>
      <c r="X98" s="50"/>
      <c r="Y98" s="50"/>
      <c r="Z98" s="50"/>
      <c r="AA98" s="50"/>
      <c r="AB98" s="51"/>
    </row>
    <row r="99">
      <c r="A99" s="106" t="s">
        <v>78</v>
      </c>
      <c r="B99" s="89"/>
      <c r="C99" s="89"/>
      <c r="D99" s="89"/>
      <c r="E99" s="89"/>
      <c r="F99" s="89"/>
      <c r="G99" s="89"/>
      <c r="H99" s="89"/>
      <c r="I99" s="89"/>
      <c r="J99" s="89"/>
      <c r="K99" s="114"/>
      <c r="R99" s="81"/>
      <c r="S99" s="164" t="s">
        <v>187</v>
      </c>
      <c r="T99" s="50"/>
      <c r="U99" s="50"/>
      <c r="V99" s="50"/>
      <c r="W99" s="50"/>
      <c r="X99" s="50"/>
      <c r="Y99" s="50"/>
      <c r="Z99" s="50"/>
      <c r="AA99" s="51"/>
      <c r="AB99" s="83"/>
    </row>
    <row r="100">
      <c r="A100" s="106" t="s">
        <v>17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114"/>
      <c r="R100" s="81" t="s">
        <v>52</v>
      </c>
      <c r="S100" s="89">
        <v>28.0</v>
      </c>
      <c r="T100" s="89">
        <v>30.0</v>
      </c>
      <c r="U100" s="89">
        <v>32.0</v>
      </c>
      <c r="V100" s="89">
        <v>34.0</v>
      </c>
      <c r="W100" s="89">
        <v>36.0</v>
      </c>
      <c r="X100" s="89">
        <v>38.0</v>
      </c>
      <c r="Y100" s="89">
        <v>40.0</v>
      </c>
      <c r="Z100" s="89"/>
      <c r="AA100" s="90"/>
      <c r="AB100" s="83"/>
    </row>
    <row r="101">
      <c r="A101" s="122"/>
      <c r="B101" s="109"/>
      <c r="C101" s="109"/>
      <c r="D101" s="109"/>
      <c r="E101" s="109"/>
      <c r="F101" s="109"/>
      <c r="G101" s="109"/>
      <c r="H101" s="109"/>
      <c r="I101" s="109"/>
      <c r="J101" s="109"/>
      <c r="K101" s="105">
        <f>SUM(K96:K100)</f>
        <v>0</v>
      </c>
      <c r="R101" s="81"/>
      <c r="S101" s="112" t="s">
        <v>4</v>
      </c>
      <c r="T101" s="112" t="s">
        <v>53</v>
      </c>
      <c r="U101" s="112" t="s">
        <v>54</v>
      </c>
      <c r="V101" s="112" t="s">
        <v>55</v>
      </c>
      <c r="W101" s="112" t="s">
        <v>56</v>
      </c>
      <c r="X101" s="112" t="s">
        <v>9</v>
      </c>
      <c r="Y101" s="112" t="s">
        <v>10</v>
      </c>
      <c r="Z101" s="112" t="s">
        <v>11</v>
      </c>
      <c r="AA101" s="85" t="s">
        <v>12</v>
      </c>
      <c r="AB101" s="134" t="s">
        <v>49</v>
      </c>
    </row>
    <row r="102">
      <c r="A102" s="108"/>
      <c r="B102" s="109"/>
      <c r="C102" s="109"/>
      <c r="D102" s="109"/>
      <c r="E102" s="109"/>
      <c r="F102" s="109"/>
      <c r="G102" s="109"/>
      <c r="H102" s="109"/>
      <c r="I102" s="109"/>
      <c r="J102" s="109"/>
      <c r="K102" s="79"/>
      <c r="R102" s="106" t="s">
        <v>22</v>
      </c>
      <c r="S102" s="89">
        <f>2-1</f>
        <v>1</v>
      </c>
      <c r="T102" s="89">
        <f t="shared" ref="T102:U102" si="23">0</f>
        <v>0</v>
      </c>
      <c r="U102" s="89">
        <f t="shared" si="23"/>
        <v>0</v>
      </c>
      <c r="V102" s="89">
        <f>1</f>
        <v>1</v>
      </c>
      <c r="W102" s="89">
        <f t="shared" ref="W102:AA102" si="24">0</f>
        <v>0</v>
      </c>
      <c r="X102" s="89">
        <f t="shared" si="24"/>
        <v>0</v>
      </c>
      <c r="Y102" s="89">
        <f t="shared" si="24"/>
        <v>0</v>
      </c>
      <c r="Z102" s="89">
        <f t="shared" si="24"/>
        <v>0</v>
      </c>
      <c r="AA102" s="89">
        <f t="shared" si="24"/>
        <v>0</v>
      </c>
      <c r="AB102" s="161">
        <f t="shared" ref="AB102:AB104" si="26">SUM(S102:AA102)</f>
        <v>2</v>
      </c>
    </row>
    <row r="103">
      <c r="A103" s="203" t="s">
        <v>188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1"/>
      <c r="R103" s="106" t="s">
        <v>13</v>
      </c>
      <c r="S103" s="89">
        <f t="shared" ref="S103:S104" si="27">0</f>
        <v>0</v>
      </c>
      <c r="T103" s="89">
        <f>2</f>
        <v>2</v>
      </c>
      <c r="U103" s="89">
        <f t="shared" ref="U103:AA103" si="25">0</f>
        <v>0</v>
      </c>
      <c r="V103" s="89">
        <f t="shared" si="25"/>
        <v>0</v>
      </c>
      <c r="W103" s="89">
        <f t="shared" si="25"/>
        <v>0</v>
      </c>
      <c r="X103" s="89">
        <f t="shared" si="25"/>
        <v>0</v>
      </c>
      <c r="Y103" s="89">
        <f t="shared" si="25"/>
        <v>0</v>
      </c>
      <c r="Z103" s="89">
        <f t="shared" si="25"/>
        <v>0</v>
      </c>
      <c r="AA103" s="89">
        <f t="shared" si="25"/>
        <v>0</v>
      </c>
      <c r="AB103" s="161">
        <f t="shared" si="26"/>
        <v>2</v>
      </c>
    </row>
    <row r="104">
      <c r="A104" s="81"/>
      <c r="B104" s="82" t="s">
        <v>1</v>
      </c>
      <c r="C104" s="50"/>
      <c r="D104" s="50"/>
      <c r="E104" s="50"/>
      <c r="F104" s="50"/>
      <c r="G104" s="50"/>
      <c r="H104" s="50"/>
      <c r="I104" s="50"/>
      <c r="J104" s="51"/>
      <c r="K104" s="114"/>
      <c r="R104" s="84" t="s">
        <v>27</v>
      </c>
      <c r="S104" s="89">
        <f t="shared" si="27"/>
        <v>0</v>
      </c>
      <c r="T104" s="89">
        <f t="shared" ref="T104:U104" si="28">1</f>
        <v>1</v>
      </c>
      <c r="U104" s="89">
        <f t="shared" si="28"/>
        <v>1</v>
      </c>
      <c r="V104" s="89">
        <f t="shared" ref="V104:AA104" si="29">0</f>
        <v>0</v>
      </c>
      <c r="W104" s="89">
        <f t="shared" si="29"/>
        <v>0</v>
      </c>
      <c r="X104" s="89">
        <f t="shared" si="29"/>
        <v>0</v>
      </c>
      <c r="Y104" s="89">
        <f t="shared" si="29"/>
        <v>0</v>
      </c>
      <c r="Z104" s="89">
        <f t="shared" si="29"/>
        <v>0</v>
      </c>
      <c r="AA104" s="89">
        <f t="shared" si="29"/>
        <v>0</v>
      </c>
      <c r="AB104" s="161">
        <f t="shared" si="26"/>
        <v>2</v>
      </c>
    </row>
    <row r="105">
      <c r="A105" s="81" t="s">
        <v>52</v>
      </c>
      <c r="B105" s="89">
        <v>28.0</v>
      </c>
      <c r="C105" s="89">
        <v>30.0</v>
      </c>
      <c r="D105" s="89">
        <v>32.0</v>
      </c>
      <c r="E105" s="89">
        <v>34.0</v>
      </c>
      <c r="F105" s="89">
        <v>36.0</v>
      </c>
      <c r="G105" s="89">
        <v>38.0</v>
      </c>
      <c r="H105" s="89">
        <v>40.0</v>
      </c>
      <c r="I105" s="89"/>
      <c r="J105" s="89"/>
      <c r="K105" s="114"/>
      <c r="R105" s="108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18">
        <f>SUM(AB102:AB104)</f>
        <v>6</v>
      </c>
    </row>
    <row r="106">
      <c r="A106" s="81"/>
      <c r="B106" s="112" t="s">
        <v>4</v>
      </c>
      <c r="C106" s="112" t="s">
        <v>53</v>
      </c>
      <c r="D106" s="112" t="s">
        <v>54</v>
      </c>
      <c r="E106" s="112" t="s">
        <v>55</v>
      </c>
      <c r="F106" s="112" t="s">
        <v>56</v>
      </c>
      <c r="G106" s="112" t="s">
        <v>9</v>
      </c>
      <c r="H106" s="112" t="s">
        <v>10</v>
      </c>
      <c r="I106" s="112" t="s">
        <v>11</v>
      </c>
      <c r="J106" s="112" t="s">
        <v>12</v>
      </c>
      <c r="K106" s="119" t="s">
        <v>49</v>
      </c>
      <c r="AB106" s="124"/>
    </row>
    <row r="107">
      <c r="A107" s="84" t="s">
        <v>17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114"/>
      <c r="R107" s="206" t="s">
        <v>189</v>
      </c>
      <c r="S107" s="50"/>
      <c r="T107" s="50"/>
      <c r="U107" s="50"/>
      <c r="V107" s="50"/>
      <c r="W107" s="50"/>
      <c r="X107" s="50"/>
      <c r="Y107" s="50"/>
      <c r="Z107" s="50"/>
      <c r="AA107" s="50"/>
      <c r="AB107" s="51"/>
    </row>
    <row r="108">
      <c r="A108" s="106" t="s">
        <v>28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114"/>
      <c r="R108" s="81" t="s">
        <v>153</v>
      </c>
      <c r="S108" s="112" t="s">
        <v>4</v>
      </c>
      <c r="T108" s="112" t="s">
        <v>53</v>
      </c>
      <c r="U108" s="112" t="s">
        <v>54</v>
      </c>
      <c r="V108" s="112" t="s">
        <v>55</v>
      </c>
      <c r="W108" s="112" t="s">
        <v>56</v>
      </c>
      <c r="X108" s="112" t="s">
        <v>9</v>
      </c>
      <c r="Y108" s="112" t="s">
        <v>10</v>
      </c>
      <c r="Z108" s="112" t="s">
        <v>11</v>
      </c>
      <c r="AA108" s="85" t="s">
        <v>12</v>
      </c>
      <c r="AB108" s="134" t="s">
        <v>49</v>
      </c>
    </row>
    <row r="109">
      <c r="A109" s="84" t="s">
        <v>14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114"/>
      <c r="R109" s="81" t="s">
        <v>17</v>
      </c>
      <c r="S109" s="89"/>
      <c r="T109" s="89"/>
      <c r="U109" s="89"/>
      <c r="V109" s="89"/>
      <c r="W109" s="89"/>
      <c r="X109" s="89"/>
      <c r="Y109" s="89"/>
      <c r="Z109" s="89"/>
      <c r="AA109" s="89"/>
      <c r="AB109" s="89"/>
    </row>
    <row r="110">
      <c r="A110" s="108"/>
      <c r="B110" s="109"/>
      <c r="C110" s="109"/>
      <c r="D110" s="109"/>
      <c r="E110" s="109"/>
      <c r="F110" s="109"/>
      <c r="G110" s="109"/>
      <c r="H110" s="109"/>
      <c r="I110" s="109"/>
      <c r="J110" s="109"/>
      <c r="K110" s="110">
        <f>SUM(K107:K109)</f>
        <v>0</v>
      </c>
      <c r="R110" s="81" t="s">
        <v>43</v>
      </c>
      <c r="S110" s="89"/>
      <c r="T110" s="89"/>
      <c r="U110" s="89"/>
      <c r="V110" s="89"/>
      <c r="W110" s="89"/>
      <c r="X110" s="89"/>
      <c r="Y110" s="89"/>
      <c r="Z110" s="89"/>
      <c r="AA110" s="89"/>
      <c r="AB110" s="89"/>
    </row>
    <row r="111">
      <c r="A111" s="203" t="s">
        <v>190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1"/>
      <c r="R111" s="106" t="s">
        <v>119</v>
      </c>
      <c r="S111" s="89"/>
      <c r="T111" s="89"/>
      <c r="U111" s="89"/>
      <c r="V111" s="89"/>
      <c r="W111" s="89"/>
      <c r="X111" s="89"/>
      <c r="Y111" s="89"/>
      <c r="Z111" s="89"/>
      <c r="AA111" s="89"/>
      <c r="AB111" s="89"/>
    </row>
    <row r="112">
      <c r="A112" s="81"/>
      <c r="B112" s="82" t="s">
        <v>2</v>
      </c>
      <c r="C112" s="50"/>
      <c r="D112" s="50"/>
      <c r="E112" s="50"/>
      <c r="F112" s="50"/>
      <c r="G112" s="50"/>
      <c r="H112" s="50"/>
      <c r="I112" s="50"/>
      <c r="J112" s="77"/>
      <c r="K112" s="114"/>
      <c r="R112" s="84" t="s">
        <v>13</v>
      </c>
      <c r="S112" s="89"/>
      <c r="T112" s="89"/>
      <c r="U112" s="89"/>
      <c r="V112" s="89"/>
      <c r="W112" s="89"/>
      <c r="X112" s="89"/>
      <c r="Y112" s="89"/>
      <c r="Z112" s="89"/>
      <c r="AA112" s="89"/>
      <c r="AB112" s="89"/>
    </row>
    <row r="113">
      <c r="A113" s="81" t="s">
        <v>52</v>
      </c>
      <c r="B113" s="89">
        <v>28.0</v>
      </c>
      <c r="C113" s="89">
        <v>30.0</v>
      </c>
      <c r="D113" s="89">
        <v>32.0</v>
      </c>
      <c r="E113" s="89">
        <v>34.0</v>
      </c>
      <c r="F113" s="89">
        <v>36.0</v>
      </c>
      <c r="G113" s="89">
        <v>38.0</v>
      </c>
      <c r="H113" s="89">
        <v>40.0</v>
      </c>
      <c r="I113" s="89"/>
      <c r="J113" s="90"/>
      <c r="K113" s="114"/>
      <c r="R113" s="84" t="s">
        <v>14</v>
      </c>
      <c r="S113" s="89"/>
      <c r="T113" s="89"/>
      <c r="U113" s="89"/>
      <c r="V113" s="89"/>
      <c r="W113" s="89"/>
      <c r="X113" s="89"/>
      <c r="Y113" s="89"/>
      <c r="Z113" s="89"/>
      <c r="AA113" s="89"/>
      <c r="AB113" s="89"/>
    </row>
    <row r="114">
      <c r="A114" s="81"/>
      <c r="B114" s="112" t="s">
        <v>4</v>
      </c>
      <c r="C114" s="112" t="s">
        <v>53</v>
      </c>
      <c r="D114" s="112" t="s">
        <v>54</v>
      </c>
      <c r="E114" s="112" t="s">
        <v>55</v>
      </c>
      <c r="F114" s="112" t="s">
        <v>56</v>
      </c>
      <c r="G114" s="112" t="s">
        <v>9</v>
      </c>
      <c r="H114" s="112" t="s">
        <v>10</v>
      </c>
      <c r="I114" s="112" t="s">
        <v>11</v>
      </c>
      <c r="J114" s="85" t="s">
        <v>12</v>
      </c>
      <c r="K114" s="119" t="s">
        <v>49</v>
      </c>
      <c r="R114" s="207" t="s">
        <v>16</v>
      </c>
      <c r="S114" s="89"/>
      <c r="T114" s="89"/>
      <c r="U114" s="89"/>
      <c r="V114" s="89"/>
      <c r="W114" s="89"/>
      <c r="X114" s="89"/>
      <c r="Y114" s="89"/>
      <c r="Z114" s="89"/>
      <c r="AA114" s="89"/>
      <c r="AB114" s="89"/>
    </row>
    <row r="115">
      <c r="A115" s="84" t="s">
        <v>17</v>
      </c>
      <c r="B115" s="89"/>
      <c r="C115" s="89">
        <f>1</f>
        <v>1</v>
      </c>
      <c r="D115" s="89"/>
      <c r="E115" s="89"/>
      <c r="F115" s="89"/>
      <c r="G115" s="89"/>
      <c r="H115" s="89"/>
      <c r="I115" s="89"/>
      <c r="J115" s="89"/>
      <c r="K115" s="114"/>
      <c r="AB115" s="172">
        <f>SUM(AB109:AB114)</f>
        <v>0</v>
      </c>
    </row>
    <row r="116">
      <c r="A116" s="106" t="s">
        <v>28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114"/>
      <c r="R116" s="206" t="s">
        <v>191</v>
      </c>
      <c r="S116" s="50"/>
      <c r="T116" s="50"/>
      <c r="U116" s="50"/>
      <c r="V116" s="50"/>
      <c r="W116" s="50"/>
      <c r="X116" s="50"/>
      <c r="Y116" s="50"/>
      <c r="Z116" s="50"/>
      <c r="AA116" s="50"/>
      <c r="AB116" s="51"/>
    </row>
    <row r="117">
      <c r="A117" s="84" t="s">
        <v>14</v>
      </c>
      <c r="B117" s="89"/>
      <c r="C117" s="89"/>
      <c r="D117" s="89"/>
      <c r="E117" s="89">
        <f>1</f>
        <v>1</v>
      </c>
      <c r="F117" s="89"/>
      <c r="G117" s="89"/>
      <c r="H117" s="89"/>
      <c r="I117" s="89"/>
      <c r="J117" s="89"/>
      <c r="K117" s="114"/>
      <c r="R117" s="81" t="s">
        <v>153</v>
      </c>
      <c r="S117" s="112" t="s">
        <v>4</v>
      </c>
      <c r="T117" s="112" t="s">
        <v>53</v>
      </c>
      <c r="U117" s="112" t="s">
        <v>54</v>
      </c>
      <c r="V117" s="112" t="s">
        <v>55</v>
      </c>
      <c r="W117" s="112" t="s">
        <v>56</v>
      </c>
      <c r="X117" s="112" t="s">
        <v>9</v>
      </c>
      <c r="Y117" s="112" t="s">
        <v>10</v>
      </c>
      <c r="Z117" s="112" t="s">
        <v>11</v>
      </c>
      <c r="AA117" s="85" t="s">
        <v>12</v>
      </c>
      <c r="AB117" s="134" t="s">
        <v>49</v>
      </c>
    </row>
    <row r="118">
      <c r="A118" s="108"/>
      <c r="B118" s="109"/>
      <c r="C118" s="109"/>
      <c r="D118" s="109"/>
      <c r="E118" s="109"/>
      <c r="F118" s="109"/>
      <c r="G118" s="109"/>
      <c r="H118" s="109" t="s">
        <v>38</v>
      </c>
      <c r="I118" s="109"/>
      <c r="J118" s="109"/>
      <c r="K118" s="105">
        <f>SUM(K115:K117)</f>
        <v>0</v>
      </c>
      <c r="R118" s="81" t="s">
        <v>43</v>
      </c>
      <c r="S118" s="89"/>
      <c r="T118" s="89"/>
      <c r="U118" s="89"/>
      <c r="V118" s="89"/>
      <c r="W118" s="89"/>
      <c r="X118" s="89"/>
      <c r="Y118" s="89"/>
      <c r="Z118" s="89"/>
      <c r="AA118" s="89"/>
      <c r="AB118" s="89"/>
    </row>
    <row r="119">
      <c r="A119" s="108"/>
      <c r="B119" s="109"/>
      <c r="C119" s="109"/>
      <c r="D119" s="109"/>
      <c r="E119" s="109"/>
      <c r="F119" s="109"/>
      <c r="G119" s="109"/>
      <c r="H119" s="109"/>
      <c r="I119" s="109"/>
      <c r="J119" s="109"/>
      <c r="K119" s="79"/>
      <c r="R119" s="84" t="s">
        <v>13</v>
      </c>
      <c r="S119" s="89"/>
      <c r="T119" s="89"/>
      <c r="U119" s="89"/>
      <c r="V119" s="89"/>
      <c r="W119" s="89"/>
      <c r="X119" s="89"/>
      <c r="Y119" s="89"/>
      <c r="Z119" s="89"/>
      <c r="AA119" s="89"/>
      <c r="AB119" s="89"/>
    </row>
    <row r="120">
      <c r="A120" s="203" t="s">
        <v>192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1"/>
      <c r="R120" s="84" t="s">
        <v>14</v>
      </c>
      <c r="S120" s="89"/>
      <c r="T120" s="89"/>
      <c r="U120" s="89"/>
      <c r="V120" s="89"/>
      <c r="W120" s="89"/>
      <c r="X120" s="89"/>
      <c r="Y120" s="89"/>
      <c r="Z120" s="89"/>
      <c r="AA120" s="89"/>
      <c r="AB120" s="89"/>
    </row>
    <row r="121">
      <c r="A121" s="81"/>
      <c r="B121" s="82" t="s">
        <v>1</v>
      </c>
      <c r="C121" s="50"/>
      <c r="D121" s="50"/>
      <c r="E121" s="50"/>
      <c r="F121" s="50"/>
      <c r="G121" s="50"/>
      <c r="H121" s="50"/>
      <c r="I121" s="50"/>
      <c r="J121" s="51"/>
      <c r="K121" s="114"/>
      <c r="AB121" s="173">
        <f>SUM(AB118:AB120)</f>
        <v>0</v>
      </c>
    </row>
    <row r="122">
      <c r="A122" s="81" t="s">
        <v>52</v>
      </c>
      <c r="B122" s="89">
        <v>28.0</v>
      </c>
      <c r="C122" s="89">
        <v>30.0</v>
      </c>
      <c r="D122" s="89">
        <v>32.0</v>
      </c>
      <c r="E122" s="89">
        <v>34.0</v>
      </c>
      <c r="F122" s="89">
        <v>36.0</v>
      </c>
      <c r="G122" s="89">
        <v>38.0</v>
      </c>
      <c r="H122" s="89">
        <v>40.0</v>
      </c>
      <c r="I122" s="89"/>
      <c r="J122" s="89"/>
      <c r="K122" s="114"/>
    </row>
    <row r="123">
      <c r="A123" s="81"/>
      <c r="B123" s="112" t="s">
        <v>4</v>
      </c>
      <c r="C123" s="112" t="s">
        <v>53</v>
      </c>
      <c r="D123" s="112" t="s">
        <v>54</v>
      </c>
      <c r="E123" s="112" t="s">
        <v>55</v>
      </c>
      <c r="F123" s="112" t="s">
        <v>56</v>
      </c>
      <c r="G123" s="112" t="s">
        <v>9</v>
      </c>
      <c r="H123" s="112" t="s">
        <v>10</v>
      </c>
      <c r="I123" s="112" t="s">
        <v>11</v>
      </c>
      <c r="J123" s="112" t="s">
        <v>12</v>
      </c>
      <c r="K123" s="119" t="s">
        <v>49</v>
      </c>
      <c r="R123" s="206" t="s">
        <v>193</v>
      </c>
      <c r="S123" s="50"/>
      <c r="T123" s="50"/>
      <c r="U123" s="50"/>
      <c r="V123" s="50"/>
      <c r="W123" s="50"/>
      <c r="X123" s="50"/>
      <c r="Y123" s="50"/>
      <c r="Z123" s="50"/>
      <c r="AA123" s="50"/>
      <c r="AB123" s="51"/>
    </row>
    <row r="124">
      <c r="A124" s="84" t="s">
        <v>57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114"/>
      <c r="R124" s="81" t="s">
        <v>153</v>
      </c>
      <c r="S124" s="112" t="s">
        <v>4</v>
      </c>
      <c r="T124" s="112" t="s">
        <v>53</v>
      </c>
      <c r="U124" s="112" t="s">
        <v>54</v>
      </c>
      <c r="V124" s="112" t="s">
        <v>55</v>
      </c>
      <c r="W124" s="112" t="s">
        <v>56</v>
      </c>
      <c r="X124" s="112" t="s">
        <v>9</v>
      </c>
      <c r="Y124" s="112" t="s">
        <v>10</v>
      </c>
      <c r="Z124" s="112" t="s">
        <v>11</v>
      </c>
      <c r="AA124" s="85" t="s">
        <v>12</v>
      </c>
      <c r="AB124" s="134" t="s">
        <v>49</v>
      </c>
    </row>
    <row r="125">
      <c r="A125" s="106" t="s">
        <v>91</v>
      </c>
      <c r="B125" s="89"/>
      <c r="C125" s="89"/>
      <c r="D125" s="89"/>
      <c r="E125" s="89"/>
      <c r="F125" s="89"/>
      <c r="G125" s="89"/>
      <c r="H125" s="89"/>
      <c r="I125" s="89"/>
      <c r="J125" s="89"/>
      <c r="K125" s="114"/>
      <c r="R125" s="84" t="s">
        <v>13</v>
      </c>
      <c r="S125" s="89"/>
      <c r="T125" s="89"/>
      <c r="U125" s="89"/>
      <c r="V125" s="89"/>
      <c r="W125" s="89"/>
      <c r="X125" s="89"/>
      <c r="Y125" s="89"/>
      <c r="Z125" s="89"/>
      <c r="AA125" s="89"/>
      <c r="AB125" s="105"/>
    </row>
    <row r="126">
      <c r="A126" s="84" t="s">
        <v>92</v>
      </c>
      <c r="B126" s="89"/>
      <c r="C126" s="89"/>
      <c r="D126" s="89"/>
      <c r="E126" s="89"/>
      <c r="F126" s="89"/>
      <c r="G126" s="89"/>
      <c r="H126" s="89"/>
      <c r="I126" s="89"/>
      <c r="J126" s="89"/>
      <c r="K126" s="114"/>
      <c r="R126" s="84" t="s">
        <v>156</v>
      </c>
      <c r="S126" s="89"/>
      <c r="T126" s="89"/>
      <c r="U126" s="89"/>
      <c r="V126" s="89"/>
      <c r="W126" s="89"/>
      <c r="X126" s="89"/>
      <c r="Y126" s="89"/>
      <c r="Z126" s="89"/>
      <c r="AA126" s="89"/>
      <c r="AB126" s="105"/>
    </row>
    <row r="127">
      <c r="A127" s="106" t="s">
        <v>43</v>
      </c>
      <c r="B127" s="89">
        <f>1</f>
        <v>1</v>
      </c>
      <c r="C127" s="89"/>
      <c r="D127" s="89"/>
      <c r="E127" s="89"/>
      <c r="F127" s="89"/>
      <c r="G127" s="89"/>
      <c r="H127" s="89"/>
      <c r="I127" s="89"/>
      <c r="J127" s="89"/>
      <c r="K127" s="114"/>
      <c r="R127" s="84" t="s">
        <v>157</v>
      </c>
      <c r="S127" s="89"/>
      <c r="T127" s="89"/>
      <c r="U127" s="89"/>
      <c r="V127" s="89"/>
      <c r="W127" s="89"/>
      <c r="X127" s="89"/>
      <c r="Y127" s="89"/>
      <c r="Z127" s="89"/>
      <c r="AA127" s="89"/>
      <c r="AB127" s="105"/>
    </row>
    <row r="128">
      <c r="A128" s="108"/>
      <c r="B128" s="109"/>
      <c r="C128" s="132"/>
      <c r="D128" s="109"/>
      <c r="E128" s="109"/>
      <c r="F128" s="109"/>
      <c r="G128" s="109"/>
      <c r="H128" s="109"/>
      <c r="I128" s="109"/>
      <c r="J128" s="109"/>
      <c r="K128" s="110">
        <f>SUM(K124:K127)</f>
        <v>0</v>
      </c>
      <c r="R128" s="84" t="s">
        <v>14</v>
      </c>
      <c r="S128" s="89"/>
      <c r="T128" s="105"/>
      <c r="U128" s="89"/>
      <c r="V128" s="89"/>
      <c r="W128" s="89"/>
      <c r="X128" s="89"/>
      <c r="Y128" s="89"/>
      <c r="Z128" s="89"/>
      <c r="AA128" s="89"/>
      <c r="AB128" s="105"/>
    </row>
    <row r="129">
      <c r="A129" s="203" t="s">
        <v>194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1"/>
      <c r="R129" s="84" t="s">
        <v>57</v>
      </c>
      <c r="S129" s="89"/>
      <c r="T129" s="89"/>
      <c r="U129" s="89"/>
      <c r="V129" s="89"/>
      <c r="W129" s="89"/>
      <c r="X129" s="89"/>
      <c r="Y129" s="89"/>
      <c r="Z129" s="89"/>
      <c r="AA129" s="89"/>
      <c r="AB129" s="105"/>
    </row>
    <row r="130">
      <c r="A130" s="81"/>
      <c r="B130" s="82" t="s">
        <v>2</v>
      </c>
      <c r="C130" s="50"/>
      <c r="D130" s="50"/>
      <c r="E130" s="50"/>
      <c r="F130" s="50"/>
      <c r="G130" s="50"/>
      <c r="H130" s="50"/>
      <c r="I130" s="50"/>
      <c r="J130" s="77"/>
      <c r="K130" s="89"/>
      <c r="R130" s="174" t="s">
        <v>17</v>
      </c>
      <c r="S130" s="89"/>
      <c r="T130" s="89"/>
      <c r="U130" s="89"/>
      <c r="V130" s="89"/>
      <c r="W130" s="89"/>
      <c r="X130" s="89"/>
      <c r="Y130" s="89"/>
      <c r="Z130" s="89"/>
      <c r="AA130" s="89"/>
      <c r="AB130" s="105"/>
    </row>
    <row r="131">
      <c r="A131" s="81" t="s">
        <v>52</v>
      </c>
      <c r="B131" s="89">
        <v>28.0</v>
      </c>
      <c r="C131" s="89">
        <v>30.0</v>
      </c>
      <c r="D131" s="89">
        <v>32.0</v>
      </c>
      <c r="E131" s="89">
        <v>34.0</v>
      </c>
      <c r="F131" s="89">
        <v>36.0</v>
      </c>
      <c r="G131" s="89">
        <v>38.0</v>
      </c>
      <c r="H131" s="89">
        <v>40.0</v>
      </c>
      <c r="I131" s="89"/>
      <c r="J131" s="90"/>
      <c r="K131" s="114"/>
      <c r="AB131" s="175">
        <f>SUM(AB125:AB130)</f>
        <v>0</v>
      </c>
    </row>
    <row r="132">
      <c r="A132" s="81"/>
      <c r="B132" s="112" t="s">
        <v>4</v>
      </c>
      <c r="C132" s="112" t="s">
        <v>53</v>
      </c>
      <c r="D132" s="112" t="s">
        <v>54</v>
      </c>
      <c r="E132" s="112" t="s">
        <v>55</v>
      </c>
      <c r="F132" s="112" t="s">
        <v>56</v>
      </c>
      <c r="G132" s="112" t="s">
        <v>9</v>
      </c>
      <c r="H132" s="112" t="s">
        <v>10</v>
      </c>
      <c r="I132" s="112" t="s">
        <v>11</v>
      </c>
      <c r="J132" s="85" t="s">
        <v>12</v>
      </c>
      <c r="K132" s="119" t="s">
        <v>49</v>
      </c>
    </row>
    <row r="133">
      <c r="A133" s="84" t="s">
        <v>57</v>
      </c>
      <c r="B133" s="89"/>
      <c r="C133" s="100"/>
      <c r="D133" s="89">
        <f>1</f>
        <v>1</v>
      </c>
      <c r="E133" s="100"/>
      <c r="F133" s="89"/>
      <c r="G133" s="89"/>
      <c r="H133" s="89"/>
      <c r="I133" s="89"/>
      <c r="J133" s="89"/>
      <c r="K133" s="114"/>
      <c r="R133" s="206" t="s">
        <v>195</v>
      </c>
      <c r="S133" s="50"/>
      <c r="T133" s="50"/>
      <c r="U133" s="50"/>
      <c r="V133" s="50"/>
      <c r="W133" s="50"/>
      <c r="X133" s="50"/>
      <c r="Y133" s="50"/>
      <c r="Z133" s="50"/>
      <c r="AA133" s="50"/>
      <c r="AB133" s="51"/>
    </row>
    <row r="134">
      <c r="A134" s="106" t="s">
        <v>91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114"/>
      <c r="R134" s="81" t="s">
        <v>153</v>
      </c>
      <c r="S134" s="112" t="s">
        <v>4</v>
      </c>
      <c r="T134" s="112" t="s">
        <v>53</v>
      </c>
      <c r="U134" s="112" t="s">
        <v>54</v>
      </c>
      <c r="V134" s="112" t="s">
        <v>55</v>
      </c>
      <c r="W134" s="112" t="s">
        <v>56</v>
      </c>
      <c r="X134" s="112" t="s">
        <v>9</v>
      </c>
      <c r="Y134" s="112" t="s">
        <v>10</v>
      </c>
      <c r="Z134" s="112" t="s">
        <v>11</v>
      </c>
      <c r="AA134" s="85" t="s">
        <v>12</v>
      </c>
      <c r="AB134" s="134" t="s">
        <v>49</v>
      </c>
    </row>
    <row r="135">
      <c r="A135" s="84" t="s">
        <v>92</v>
      </c>
      <c r="B135" s="89"/>
      <c r="C135" s="89"/>
      <c r="D135" s="89"/>
      <c r="E135" s="89"/>
      <c r="F135" s="89"/>
      <c r="G135" s="89"/>
      <c r="H135" s="89"/>
      <c r="I135" s="89"/>
      <c r="J135" s="89"/>
      <c r="K135" s="114"/>
      <c r="R135" s="84" t="s">
        <v>13</v>
      </c>
      <c r="S135" s="89"/>
      <c r="T135" s="89"/>
      <c r="U135" s="89"/>
      <c r="V135" s="89"/>
      <c r="W135" s="89"/>
      <c r="X135" s="89"/>
      <c r="Y135" s="89"/>
      <c r="Z135" s="89"/>
      <c r="AA135" s="89"/>
      <c r="AB135" s="89"/>
    </row>
    <row r="136">
      <c r="A136" s="106" t="s">
        <v>43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114"/>
      <c r="R136" s="84" t="s">
        <v>156</v>
      </c>
      <c r="S136" s="89"/>
      <c r="T136" s="89"/>
      <c r="U136" s="89"/>
      <c r="V136" s="89"/>
      <c r="W136" s="89"/>
      <c r="X136" s="89"/>
      <c r="Y136" s="89"/>
      <c r="Z136" s="89"/>
      <c r="AA136" s="89"/>
      <c r="AB136" s="89"/>
    </row>
    <row r="137">
      <c r="A137" s="122"/>
      <c r="B137" s="79"/>
      <c r="C137" s="79"/>
      <c r="D137" s="79"/>
      <c r="E137" s="79"/>
      <c r="F137" s="79"/>
      <c r="G137" s="79"/>
      <c r="H137" s="79"/>
      <c r="I137" s="79"/>
      <c r="J137" s="79"/>
      <c r="K137" s="105">
        <f>SUM(K133:K136)</f>
        <v>0</v>
      </c>
      <c r="R137" s="84" t="s">
        <v>157</v>
      </c>
      <c r="S137" s="89"/>
      <c r="T137" s="89"/>
      <c r="U137" s="89"/>
      <c r="V137" s="89"/>
      <c r="W137" s="89"/>
      <c r="X137" s="89"/>
      <c r="Y137" s="89"/>
      <c r="Z137" s="89"/>
      <c r="AA137" s="89"/>
      <c r="AB137" s="89"/>
    </row>
    <row r="138">
      <c r="R138" s="84" t="s">
        <v>14</v>
      </c>
      <c r="S138" s="89"/>
      <c r="T138" s="89"/>
      <c r="U138" s="89"/>
      <c r="V138" s="89"/>
      <c r="W138" s="89"/>
      <c r="X138" s="89"/>
      <c r="Y138" s="89"/>
      <c r="Z138" s="89"/>
      <c r="AA138" s="89"/>
      <c r="AB138" s="89"/>
    </row>
    <row r="139">
      <c r="R139" s="84" t="s">
        <v>57</v>
      </c>
      <c r="S139" s="89"/>
      <c r="T139" s="89"/>
      <c r="U139" s="89"/>
      <c r="V139" s="89"/>
      <c r="W139" s="89"/>
      <c r="X139" s="89"/>
      <c r="Y139" s="89"/>
      <c r="Z139" s="89"/>
      <c r="AA139" s="89"/>
      <c r="AB139" s="89"/>
    </row>
    <row r="140">
      <c r="A140" s="67" t="s">
        <v>45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9"/>
      <c r="R140" s="174" t="s">
        <v>17</v>
      </c>
      <c r="S140" s="89"/>
      <c r="T140" s="89"/>
      <c r="U140" s="89"/>
      <c r="V140" s="89"/>
      <c r="W140" s="89"/>
      <c r="X140" s="89"/>
      <c r="Y140" s="89"/>
      <c r="Z140" s="89"/>
      <c r="AA140" s="89"/>
      <c r="AB140" s="89"/>
    </row>
    <row r="141">
      <c r="A141" s="208" t="s">
        <v>196</v>
      </c>
      <c r="B141" s="50"/>
      <c r="C141" s="50"/>
      <c r="D141" s="50"/>
      <c r="E141" s="50"/>
      <c r="F141" s="50"/>
      <c r="G141" s="50"/>
      <c r="H141" s="50"/>
      <c r="I141" s="50"/>
      <c r="J141" s="50"/>
      <c r="K141" s="77"/>
      <c r="L141" s="78" t="s">
        <v>49</v>
      </c>
      <c r="AB141" s="175">
        <f>SUM(AB135:AB140)</f>
        <v>0</v>
      </c>
    </row>
    <row r="142">
      <c r="A142" s="84"/>
      <c r="B142" s="82" t="s">
        <v>1</v>
      </c>
      <c r="C142" s="50"/>
      <c r="D142" s="50"/>
      <c r="E142" s="50"/>
      <c r="F142" s="50"/>
      <c r="G142" s="50"/>
      <c r="H142" s="50"/>
      <c r="I142" s="50"/>
      <c r="J142" s="51"/>
      <c r="K142" s="85"/>
      <c r="L142" s="86"/>
      <c r="AA142" s="120" t="s">
        <v>38</v>
      </c>
    </row>
    <row r="143">
      <c r="A143" s="84" t="s">
        <v>52</v>
      </c>
      <c r="B143" s="89">
        <v>28.0</v>
      </c>
      <c r="C143" s="89">
        <v>30.0</v>
      </c>
      <c r="D143" s="89">
        <v>32.0</v>
      </c>
      <c r="E143" s="89">
        <v>34.0</v>
      </c>
      <c r="F143" s="89">
        <v>36.0</v>
      </c>
      <c r="G143" s="89">
        <v>38.0</v>
      </c>
      <c r="H143" s="89">
        <v>40.0</v>
      </c>
      <c r="I143" s="89"/>
      <c r="J143" s="89"/>
      <c r="K143" s="90"/>
      <c r="L143" s="86"/>
      <c r="R143" s="206" t="s">
        <v>197</v>
      </c>
      <c r="S143" s="50"/>
      <c r="T143" s="50"/>
      <c r="U143" s="50"/>
      <c r="V143" s="50"/>
      <c r="W143" s="50"/>
      <c r="X143" s="50"/>
      <c r="Y143" s="50"/>
      <c r="Z143" s="50"/>
      <c r="AA143" s="50"/>
      <c r="AB143" s="51"/>
    </row>
    <row r="144">
      <c r="A144" s="96"/>
      <c r="B144" s="92" t="s">
        <v>4</v>
      </c>
      <c r="C144" s="92" t="s">
        <v>53</v>
      </c>
      <c r="D144" s="92" t="s">
        <v>54</v>
      </c>
      <c r="E144" s="92" t="s">
        <v>55</v>
      </c>
      <c r="F144" s="92" t="s">
        <v>56</v>
      </c>
      <c r="G144" s="92" t="s">
        <v>9</v>
      </c>
      <c r="H144" s="92" t="s">
        <v>10</v>
      </c>
      <c r="I144" s="92" t="s">
        <v>11</v>
      </c>
      <c r="J144" s="92" t="s">
        <v>12</v>
      </c>
      <c r="K144" s="97" t="s">
        <v>49</v>
      </c>
      <c r="L144" s="86"/>
      <c r="R144" s="112" t="s">
        <v>153</v>
      </c>
      <c r="S144" s="112" t="s">
        <v>4</v>
      </c>
      <c r="T144" s="112" t="s">
        <v>53</v>
      </c>
      <c r="U144" s="112" t="s">
        <v>54</v>
      </c>
      <c r="V144" s="112" t="s">
        <v>55</v>
      </c>
      <c r="W144" s="112" t="s">
        <v>56</v>
      </c>
      <c r="X144" s="112" t="s">
        <v>9</v>
      </c>
      <c r="Y144" s="112" t="s">
        <v>10</v>
      </c>
      <c r="Z144" s="112" t="s">
        <v>11</v>
      </c>
      <c r="AA144" s="85" t="s">
        <v>12</v>
      </c>
      <c r="AB144" s="134" t="s">
        <v>49</v>
      </c>
    </row>
    <row r="145">
      <c r="A145" s="84" t="s">
        <v>59</v>
      </c>
      <c r="B145" s="89"/>
      <c r="C145" s="100"/>
      <c r="D145" s="89"/>
      <c r="E145" s="89"/>
      <c r="F145" s="89"/>
      <c r="G145" s="89"/>
      <c r="H145" s="89"/>
      <c r="I145" s="89"/>
      <c r="J145" s="89"/>
      <c r="K145" s="103"/>
      <c r="L145" s="86"/>
      <c r="R145" s="84" t="s">
        <v>13</v>
      </c>
      <c r="S145" s="89"/>
      <c r="T145" s="89"/>
      <c r="U145" s="89"/>
      <c r="V145" s="89"/>
      <c r="W145" s="89"/>
      <c r="X145" s="89"/>
      <c r="Y145" s="89"/>
      <c r="Z145" s="89"/>
      <c r="AA145" s="89"/>
      <c r="AB145" s="105"/>
    </row>
    <row r="146">
      <c r="A146" s="84" t="s">
        <v>60</v>
      </c>
      <c r="B146" s="89"/>
      <c r="C146" s="89"/>
      <c r="D146" s="89">
        <f>1</f>
        <v>1</v>
      </c>
      <c r="E146" s="89"/>
      <c r="F146" s="89"/>
      <c r="G146" s="100"/>
      <c r="H146" s="89"/>
      <c r="I146" s="89"/>
      <c r="J146" s="100"/>
      <c r="K146" s="103"/>
      <c r="L146" s="86"/>
      <c r="R146" s="84" t="s">
        <v>156</v>
      </c>
      <c r="S146" s="89"/>
      <c r="T146" s="89"/>
      <c r="U146" s="89"/>
      <c r="V146" s="89"/>
      <c r="W146" s="89"/>
      <c r="X146" s="89"/>
      <c r="Y146" s="89"/>
      <c r="Z146" s="89"/>
      <c r="AA146" s="89"/>
      <c r="AB146" s="105"/>
    </row>
    <row r="147">
      <c r="L147" s="86"/>
      <c r="R147" s="84" t="s">
        <v>157</v>
      </c>
      <c r="S147" s="89"/>
      <c r="T147" s="89"/>
      <c r="U147" s="89"/>
      <c r="V147" s="89"/>
      <c r="W147" s="89"/>
      <c r="X147" s="89"/>
      <c r="Y147" s="89"/>
      <c r="Z147" s="89"/>
      <c r="AA147" s="89"/>
      <c r="AB147" s="105"/>
    </row>
    <row r="148">
      <c r="A148" s="208" t="s">
        <v>196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77"/>
      <c r="L148" s="86"/>
      <c r="R148" s="84" t="s">
        <v>14</v>
      </c>
      <c r="S148" s="89"/>
      <c r="T148" s="89"/>
      <c r="U148" s="89"/>
      <c r="V148" s="89"/>
      <c r="W148" s="89"/>
      <c r="X148" s="89"/>
      <c r="Y148" s="89"/>
      <c r="Z148" s="89"/>
      <c r="AA148" s="89"/>
      <c r="AB148" s="89"/>
    </row>
    <row r="149">
      <c r="A149" s="107"/>
      <c r="B149" s="82" t="s">
        <v>2</v>
      </c>
      <c r="C149" s="50"/>
      <c r="D149" s="50"/>
      <c r="E149" s="50"/>
      <c r="F149" s="50"/>
      <c r="G149" s="50"/>
      <c r="H149" s="50"/>
      <c r="I149" s="50"/>
      <c r="J149" s="51"/>
      <c r="K149" s="85"/>
      <c r="L149" s="86"/>
      <c r="R149" s="84" t="s">
        <v>57</v>
      </c>
      <c r="S149" s="89"/>
      <c r="T149" s="89"/>
      <c r="U149" s="89"/>
      <c r="V149" s="89"/>
      <c r="W149" s="89"/>
      <c r="X149" s="89"/>
      <c r="Y149" s="89"/>
      <c r="Z149" s="89"/>
      <c r="AA149" s="89"/>
      <c r="AB149" s="105"/>
    </row>
    <row r="150">
      <c r="A150" s="84" t="s">
        <v>52</v>
      </c>
      <c r="B150" s="89">
        <v>28.0</v>
      </c>
      <c r="C150" s="89">
        <v>30.0</v>
      </c>
      <c r="D150" s="89">
        <v>32.0</v>
      </c>
      <c r="E150" s="89">
        <v>34.0</v>
      </c>
      <c r="F150" s="89">
        <v>36.0</v>
      </c>
      <c r="G150" s="89">
        <v>38.0</v>
      </c>
      <c r="H150" s="89">
        <v>40.0</v>
      </c>
      <c r="I150" s="89"/>
      <c r="J150" s="89"/>
      <c r="K150" s="90"/>
      <c r="L150" s="86"/>
      <c r="R150" s="174" t="s">
        <v>17</v>
      </c>
      <c r="S150" s="89"/>
      <c r="T150" s="89"/>
      <c r="U150" s="89"/>
      <c r="V150" s="89"/>
      <c r="W150" s="89"/>
      <c r="X150" s="89"/>
      <c r="Y150" s="89"/>
      <c r="Z150" s="89"/>
      <c r="AA150" s="89"/>
      <c r="AB150" s="105"/>
    </row>
    <row r="151">
      <c r="A151" s="84"/>
      <c r="B151" s="112" t="s">
        <v>4</v>
      </c>
      <c r="C151" s="112" t="s">
        <v>53</v>
      </c>
      <c r="D151" s="112" t="s">
        <v>54</v>
      </c>
      <c r="E151" s="112" t="s">
        <v>55</v>
      </c>
      <c r="F151" s="112" t="s">
        <v>56</v>
      </c>
      <c r="G151" s="112" t="s">
        <v>9</v>
      </c>
      <c r="H151" s="112" t="s">
        <v>10</v>
      </c>
      <c r="I151" s="112" t="s">
        <v>11</v>
      </c>
      <c r="J151" s="112" t="s">
        <v>12</v>
      </c>
      <c r="K151" s="113" t="s">
        <v>49</v>
      </c>
      <c r="L151" s="86"/>
      <c r="AB151" s="175"/>
    </row>
    <row r="152">
      <c r="A152" s="84" t="s">
        <v>59</v>
      </c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115"/>
    </row>
    <row r="153">
      <c r="A153" s="84" t="s">
        <v>60</v>
      </c>
      <c r="B153" s="89"/>
      <c r="C153" s="89">
        <f>1</f>
        <v>1</v>
      </c>
      <c r="D153" s="89"/>
      <c r="E153" s="89"/>
      <c r="F153" s="89"/>
      <c r="G153" s="89"/>
      <c r="H153" s="89"/>
      <c r="I153" s="89"/>
      <c r="J153" s="89"/>
      <c r="K153" s="89"/>
      <c r="L153" s="116">
        <f>SUM(K145:K146,K152:K153)</f>
        <v>0</v>
      </c>
    </row>
    <row r="154">
      <c r="C154" s="120">
        <v>1.0</v>
      </c>
    </row>
    <row r="155">
      <c r="A155" s="208" t="s">
        <v>198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77"/>
      <c r="L155" s="78" t="s">
        <v>49</v>
      </c>
    </row>
    <row r="156">
      <c r="A156" s="84"/>
      <c r="B156" s="82" t="s">
        <v>1</v>
      </c>
      <c r="C156" s="50"/>
      <c r="D156" s="50"/>
      <c r="E156" s="50"/>
      <c r="F156" s="50"/>
      <c r="G156" s="50"/>
      <c r="H156" s="50"/>
      <c r="I156" s="50"/>
      <c r="J156" s="51"/>
      <c r="K156" s="85"/>
      <c r="L156" s="86"/>
      <c r="R156" s="208" t="s">
        <v>199</v>
      </c>
      <c r="S156" s="50"/>
      <c r="T156" s="50"/>
      <c r="U156" s="50"/>
      <c r="V156" s="50"/>
      <c r="W156" s="50"/>
      <c r="X156" s="50"/>
      <c r="Y156" s="50"/>
      <c r="Z156" s="50"/>
      <c r="AA156" s="50"/>
      <c r="AB156" s="77"/>
    </row>
    <row r="157">
      <c r="A157" s="84" t="s">
        <v>52</v>
      </c>
      <c r="B157" s="89">
        <v>28.0</v>
      </c>
      <c r="C157" s="89">
        <v>30.0</v>
      </c>
      <c r="D157" s="89">
        <v>32.0</v>
      </c>
      <c r="E157" s="89">
        <v>34.0</v>
      </c>
      <c r="F157" s="89">
        <v>36.0</v>
      </c>
      <c r="G157" s="89">
        <v>38.0</v>
      </c>
      <c r="H157" s="89">
        <v>40.0</v>
      </c>
      <c r="I157" s="89"/>
      <c r="J157" s="89"/>
      <c r="K157" s="90"/>
      <c r="L157" s="86"/>
      <c r="R157" s="107"/>
      <c r="S157" s="82" t="s">
        <v>42</v>
      </c>
      <c r="T157" s="50"/>
      <c r="U157" s="50"/>
      <c r="V157" s="50"/>
      <c r="W157" s="50"/>
      <c r="X157" s="50"/>
      <c r="Y157" s="50"/>
      <c r="Z157" s="50"/>
      <c r="AA157" s="51"/>
      <c r="AB157" s="87"/>
    </row>
    <row r="158">
      <c r="A158" s="84"/>
      <c r="B158" s="112" t="s">
        <v>4</v>
      </c>
      <c r="C158" s="112" t="s">
        <v>53</v>
      </c>
      <c r="D158" s="112" t="s">
        <v>54</v>
      </c>
      <c r="E158" s="112" t="s">
        <v>55</v>
      </c>
      <c r="F158" s="112" t="s">
        <v>56</v>
      </c>
      <c r="G158" s="112" t="s">
        <v>9</v>
      </c>
      <c r="H158" s="112" t="s">
        <v>10</v>
      </c>
      <c r="I158" s="112" t="s">
        <v>11</v>
      </c>
      <c r="J158" s="112" t="s">
        <v>12</v>
      </c>
      <c r="K158" s="113" t="s">
        <v>49</v>
      </c>
      <c r="L158" s="86"/>
      <c r="R158" s="84" t="s">
        <v>52</v>
      </c>
      <c r="S158" s="89">
        <v>28.0</v>
      </c>
      <c r="T158" s="89">
        <v>30.0</v>
      </c>
      <c r="U158" s="89">
        <v>32.0</v>
      </c>
      <c r="V158" s="89">
        <v>34.0</v>
      </c>
      <c r="W158" s="89">
        <v>36.0</v>
      </c>
      <c r="X158" s="89">
        <v>38.0</v>
      </c>
      <c r="Y158" s="89">
        <v>40.0</v>
      </c>
      <c r="Z158" s="89"/>
      <c r="AA158" s="89"/>
      <c r="AB158" s="87"/>
    </row>
    <row r="159">
      <c r="A159" s="84" t="s">
        <v>59</v>
      </c>
      <c r="B159" s="89"/>
      <c r="C159" s="89">
        <f>1</f>
        <v>1</v>
      </c>
      <c r="D159" s="89"/>
      <c r="E159" s="89"/>
      <c r="F159" s="89"/>
      <c r="G159" s="89"/>
      <c r="H159" s="89"/>
      <c r="I159" s="89"/>
      <c r="J159" s="89"/>
      <c r="K159" s="90"/>
      <c r="L159" s="86"/>
      <c r="R159" s="84"/>
      <c r="S159" s="112" t="s">
        <v>4</v>
      </c>
      <c r="T159" s="112" t="s">
        <v>53</v>
      </c>
      <c r="U159" s="112" t="s">
        <v>54</v>
      </c>
      <c r="V159" s="112" t="s">
        <v>55</v>
      </c>
      <c r="W159" s="112" t="s">
        <v>56</v>
      </c>
      <c r="X159" s="112" t="s">
        <v>9</v>
      </c>
      <c r="Y159" s="112" t="s">
        <v>10</v>
      </c>
      <c r="Z159" s="112" t="s">
        <v>11</v>
      </c>
      <c r="AA159" s="112" t="s">
        <v>12</v>
      </c>
      <c r="AB159" s="113" t="s">
        <v>49</v>
      </c>
    </row>
    <row r="160">
      <c r="A160" s="84" t="s">
        <v>60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90"/>
      <c r="L160" s="86"/>
      <c r="R160" s="84" t="s">
        <v>161</v>
      </c>
      <c r="S160" s="140"/>
      <c r="T160" s="140"/>
      <c r="U160" s="140"/>
      <c r="V160" s="140"/>
      <c r="W160" s="140">
        <f>1</f>
        <v>1</v>
      </c>
      <c r="X160" s="140"/>
      <c r="Y160" s="140"/>
      <c r="Z160" s="140"/>
      <c r="AA160" s="140"/>
      <c r="AB160" s="140">
        <f t="shared" ref="AB160:AB166" si="30">SUM(S160:AA160)</f>
        <v>1</v>
      </c>
    </row>
    <row r="161">
      <c r="A161" s="84" t="s">
        <v>65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90"/>
      <c r="L161" s="86"/>
      <c r="R161" s="84" t="s">
        <v>162</v>
      </c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>
        <f t="shared" si="30"/>
        <v>0</v>
      </c>
    </row>
    <row r="162">
      <c r="L162" s="86"/>
      <c r="R162" s="84" t="s">
        <v>163</v>
      </c>
      <c r="S162" s="140"/>
      <c r="T162" s="140"/>
      <c r="U162" s="140">
        <f>1</f>
        <v>1</v>
      </c>
      <c r="V162" s="140"/>
      <c r="W162" s="140"/>
      <c r="X162" s="140"/>
      <c r="Y162" s="140"/>
      <c r="Z162" s="140"/>
      <c r="AA162" s="140"/>
      <c r="AB162" s="140">
        <f t="shared" si="30"/>
        <v>1</v>
      </c>
    </row>
    <row r="163">
      <c r="A163" s="208" t="s">
        <v>198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77"/>
      <c r="L163" s="86"/>
      <c r="R163" s="84" t="s">
        <v>164</v>
      </c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>
        <f t="shared" si="30"/>
        <v>0</v>
      </c>
    </row>
    <row r="164">
      <c r="A164" s="107"/>
      <c r="B164" s="82" t="s">
        <v>2</v>
      </c>
      <c r="C164" s="50"/>
      <c r="D164" s="50"/>
      <c r="E164" s="50"/>
      <c r="F164" s="50"/>
      <c r="G164" s="50"/>
      <c r="H164" s="50"/>
      <c r="I164" s="50"/>
      <c r="J164" s="51"/>
      <c r="K164" s="85"/>
      <c r="L164" s="86"/>
      <c r="R164" s="84" t="s">
        <v>165</v>
      </c>
      <c r="S164" s="140"/>
      <c r="T164" s="140"/>
      <c r="U164" s="140"/>
      <c r="V164" s="140">
        <f>1</f>
        <v>1</v>
      </c>
      <c r="W164" s="140"/>
      <c r="X164" s="140"/>
      <c r="Y164" s="140"/>
      <c r="Z164" s="140"/>
      <c r="AA164" s="140"/>
      <c r="AB164" s="140">
        <f t="shared" si="30"/>
        <v>1</v>
      </c>
    </row>
    <row r="165">
      <c r="A165" s="84" t="s">
        <v>52</v>
      </c>
      <c r="B165" s="89">
        <v>28.0</v>
      </c>
      <c r="C165" s="89">
        <v>30.0</v>
      </c>
      <c r="D165" s="89">
        <v>32.0</v>
      </c>
      <c r="E165" s="89">
        <v>34.0</v>
      </c>
      <c r="F165" s="89">
        <v>36.0</v>
      </c>
      <c r="G165" s="89">
        <v>38.0</v>
      </c>
      <c r="H165" s="89">
        <v>40.0</v>
      </c>
      <c r="I165" s="89"/>
      <c r="J165" s="89"/>
      <c r="K165" s="90"/>
      <c r="L165" s="86"/>
      <c r="R165" s="84" t="s">
        <v>166</v>
      </c>
      <c r="S165" s="140">
        <f>1</f>
        <v>1</v>
      </c>
      <c r="T165" s="140"/>
      <c r="U165" s="140"/>
      <c r="V165" s="140"/>
      <c r="W165" s="140"/>
      <c r="X165" s="140"/>
      <c r="Y165" s="140"/>
      <c r="Z165" s="140"/>
      <c r="AA165" s="140"/>
      <c r="AB165" s="140">
        <f t="shared" si="30"/>
        <v>1</v>
      </c>
    </row>
    <row r="166">
      <c r="A166" s="84"/>
      <c r="B166" s="112" t="s">
        <v>4</v>
      </c>
      <c r="C166" s="112" t="s">
        <v>53</v>
      </c>
      <c r="D166" s="112" t="s">
        <v>54</v>
      </c>
      <c r="E166" s="112" t="s">
        <v>55</v>
      </c>
      <c r="F166" s="112" t="s">
        <v>56</v>
      </c>
      <c r="G166" s="112" t="s">
        <v>9</v>
      </c>
      <c r="H166" s="112" t="s">
        <v>10</v>
      </c>
      <c r="I166" s="112" t="s">
        <v>11</v>
      </c>
      <c r="J166" s="112" t="s">
        <v>12</v>
      </c>
      <c r="K166" s="113" t="s">
        <v>49</v>
      </c>
      <c r="L166" s="86"/>
      <c r="R166" s="174" t="s">
        <v>167</v>
      </c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>
        <f t="shared" si="30"/>
        <v>0</v>
      </c>
    </row>
    <row r="167">
      <c r="A167" s="84" t="s">
        <v>59</v>
      </c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6"/>
      <c r="AB167" s="175">
        <f>SUM(AB160:AB165)</f>
        <v>4</v>
      </c>
    </row>
    <row r="168">
      <c r="A168" s="84" t="s">
        <v>60</v>
      </c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115"/>
    </row>
    <row r="169">
      <c r="A169" s="84" t="s">
        <v>17</v>
      </c>
      <c r="B169" s="105"/>
      <c r="C169" s="105"/>
      <c r="D169" s="105"/>
      <c r="E169" s="105"/>
      <c r="F169" s="89"/>
      <c r="G169" s="105"/>
      <c r="H169" s="105"/>
      <c r="I169" s="89"/>
      <c r="J169" s="89"/>
      <c r="K169" s="89"/>
      <c r="L169" s="116">
        <f>SUM(K169,K168,K167,K161,K160,K159)</f>
        <v>0</v>
      </c>
    </row>
    <row r="170">
      <c r="H170" s="120">
        <v>1.0</v>
      </c>
    </row>
    <row r="171">
      <c r="A171" s="208" t="s">
        <v>200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77"/>
      <c r="L171" s="78" t="s">
        <v>49</v>
      </c>
    </row>
    <row r="172">
      <c r="A172" s="84"/>
      <c r="B172" s="82" t="s">
        <v>1</v>
      </c>
      <c r="C172" s="50"/>
      <c r="D172" s="50"/>
      <c r="E172" s="50"/>
      <c r="F172" s="50"/>
      <c r="G172" s="50"/>
      <c r="H172" s="50"/>
      <c r="I172" s="50"/>
      <c r="J172" s="51"/>
      <c r="K172" s="85"/>
      <c r="L172" s="86"/>
    </row>
    <row r="173">
      <c r="A173" s="84" t="s">
        <v>52</v>
      </c>
      <c r="B173" s="89">
        <v>28.0</v>
      </c>
      <c r="C173" s="89">
        <v>30.0</v>
      </c>
      <c r="D173" s="89">
        <v>32.0</v>
      </c>
      <c r="E173" s="89">
        <v>34.0</v>
      </c>
      <c r="F173" s="89">
        <v>36.0</v>
      </c>
      <c r="G173" s="89">
        <v>38.0</v>
      </c>
      <c r="H173" s="89">
        <v>40.0</v>
      </c>
      <c r="I173" s="89"/>
      <c r="J173" s="89"/>
      <c r="K173" s="90"/>
      <c r="L173" s="86"/>
    </row>
    <row r="174">
      <c r="A174" s="84"/>
      <c r="B174" s="112" t="s">
        <v>4</v>
      </c>
      <c r="C174" s="112" t="s">
        <v>53</v>
      </c>
      <c r="D174" s="112" t="s">
        <v>54</v>
      </c>
      <c r="E174" s="112" t="s">
        <v>55</v>
      </c>
      <c r="F174" s="112" t="s">
        <v>56</v>
      </c>
      <c r="G174" s="112" t="s">
        <v>9</v>
      </c>
      <c r="H174" s="112" t="s">
        <v>10</v>
      </c>
      <c r="I174" s="112" t="s">
        <v>11</v>
      </c>
      <c r="J174" s="112" t="s">
        <v>12</v>
      </c>
      <c r="K174" s="113" t="s">
        <v>49</v>
      </c>
      <c r="L174" s="86"/>
    </row>
    <row r="175">
      <c r="A175" s="84" t="s">
        <v>59</v>
      </c>
      <c r="B175" s="89"/>
      <c r="C175" s="89"/>
      <c r="D175" s="89"/>
      <c r="E175" s="89"/>
      <c r="F175" s="89"/>
      <c r="G175" s="89"/>
      <c r="H175" s="89"/>
      <c r="I175" s="89"/>
      <c r="J175" s="89"/>
      <c r="K175" s="90"/>
      <c r="L175" s="86"/>
    </row>
    <row r="176">
      <c r="A176" s="84" t="s">
        <v>60</v>
      </c>
      <c r="B176" s="89"/>
      <c r="C176" s="89"/>
      <c r="D176" s="89"/>
      <c r="E176" s="89"/>
      <c r="F176" s="89"/>
      <c r="G176" s="89"/>
      <c r="H176" s="89"/>
      <c r="I176" s="89"/>
      <c r="J176" s="89"/>
      <c r="K176" s="90"/>
      <c r="L176" s="86"/>
    </row>
    <row r="177">
      <c r="A177" s="84" t="s">
        <v>43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209"/>
      <c r="L177" s="86"/>
    </row>
    <row r="178">
      <c r="A178" s="84" t="s">
        <v>75</v>
      </c>
      <c r="B178" s="89"/>
      <c r="C178" s="89"/>
      <c r="D178" s="89"/>
      <c r="E178" s="89"/>
      <c r="F178" s="89"/>
      <c r="G178" s="89"/>
      <c r="H178" s="89"/>
      <c r="I178" s="89"/>
      <c r="J178" s="89"/>
      <c r="K178" s="90"/>
      <c r="L178" s="86"/>
    </row>
    <row r="179">
      <c r="A179" s="84" t="s">
        <v>65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90"/>
      <c r="L179" s="86"/>
    </row>
    <row r="180">
      <c r="A180" s="84" t="s">
        <v>76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90"/>
      <c r="L180" s="86"/>
    </row>
    <row r="181">
      <c r="A181" s="84" t="s">
        <v>77</v>
      </c>
      <c r="B181" s="89"/>
      <c r="C181" s="89"/>
      <c r="D181" s="89"/>
      <c r="E181" s="89"/>
      <c r="F181" s="89"/>
      <c r="G181" s="89"/>
      <c r="H181" s="89"/>
      <c r="I181" s="89"/>
      <c r="J181" s="89"/>
      <c r="K181" s="90"/>
      <c r="L181" s="86"/>
    </row>
    <row r="182">
      <c r="L182" s="86"/>
    </row>
    <row r="183">
      <c r="A183" s="208" t="s">
        <v>200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77"/>
      <c r="L183" s="86"/>
    </row>
    <row r="184">
      <c r="A184" s="107"/>
      <c r="B184" s="82" t="s">
        <v>2</v>
      </c>
      <c r="C184" s="50"/>
      <c r="D184" s="50"/>
      <c r="E184" s="50"/>
      <c r="F184" s="50"/>
      <c r="G184" s="50"/>
      <c r="H184" s="50"/>
      <c r="I184" s="50"/>
      <c r="J184" s="51"/>
      <c r="K184" s="85"/>
      <c r="L184" s="86"/>
    </row>
    <row r="185">
      <c r="A185" s="84" t="s">
        <v>52</v>
      </c>
      <c r="B185" s="89">
        <v>28.0</v>
      </c>
      <c r="C185" s="89">
        <v>30.0</v>
      </c>
      <c r="D185" s="89">
        <v>32.0</v>
      </c>
      <c r="E185" s="89">
        <v>34.0</v>
      </c>
      <c r="F185" s="89">
        <v>36.0</v>
      </c>
      <c r="G185" s="89">
        <v>38.0</v>
      </c>
      <c r="H185" s="89">
        <v>40.0</v>
      </c>
      <c r="I185" s="89"/>
      <c r="J185" s="89"/>
      <c r="K185" s="90"/>
      <c r="L185" s="86"/>
    </row>
    <row r="186">
      <c r="A186" s="84"/>
      <c r="B186" s="112" t="s">
        <v>4</v>
      </c>
      <c r="C186" s="112" t="s">
        <v>53</v>
      </c>
      <c r="D186" s="112" t="s">
        <v>54</v>
      </c>
      <c r="E186" s="112" t="s">
        <v>55</v>
      </c>
      <c r="F186" s="112" t="s">
        <v>56</v>
      </c>
      <c r="G186" s="112" t="s">
        <v>9</v>
      </c>
      <c r="H186" s="112" t="s">
        <v>10</v>
      </c>
      <c r="I186" s="112" t="s">
        <v>11</v>
      </c>
      <c r="J186" s="112" t="s">
        <v>12</v>
      </c>
      <c r="K186" s="113" t="s">
        <v>49</v>
      </c>
      <c r="L186" s="86"/>
    </row>
    <row r="187">
      <c r="A187" s="84" t="s">
        <v>59</v>
      </c>
      <c r="B187" s="89"/>
      <c r="C187" s="89"/>
      <c r="D187" s="89">
        <f>1</f>
        <v>1</v>
      </c>
      <c r="E187" s="89"/>
      <c r="F187" s="89"/>
      <c r="G187" s="89"/>
      <c r="H187" s="89"/>
      <c r="I187" s="89"/>
      <c r="J187" s="89"/>
      <c r="K187" s="90"/>
      <c r="L187" s="86"/>
    </row>
    <row r="188">
      <c r="A188" s="84" t="s">
        <v>60</v>
      </c>
      <c r="B188" s="89"/>
      <c r="C188" s="89"/>
      <c r="D188" s="89"/>
      <c r="E188" s="89"/>
      <c r="F188" s="89"/>
      <c r="G188" s="89"/>
      <c r="H188" s="89"/>
      <c r="I188" s="89"/>
      <c r="J188" s="89"/>
      <c r="K188" s="90"/>
      <c r="L188" s="86"/>
    </row>
    <row r="189">
      <c r="A189" s="84" t="s">
        <v>43</v>
      </c>
      <c r="B189" s="89"/>
      <c r="C189" s="89"/>
      <c r="D189" s="89"/>
      <c r="E189" s="89"/>
      <c r="F189" s="89"/>
      <c r="G189" s="89"/>
      <c r="H189" s="89"/>
      <c r="I189" s="89"/>
      <c r="J189" s="89"/>
      <c r="K189" s="90"/>
      <c r="L189" s="86"/>
    </row>
    <row r="190">
      <c r="A190" s="84" t="s">
        <v>75</v>
      </c>
      <c r="B190" s="89"/>
      <c r="C190" s="89"/>
      <c r="D190" s="89"/>
      <c r="E190" s="89"/>
      <c r="F190" s="89"/>
      <c r="G190" s="89"/>
      <c r="H190" s="89"/>
      <c r="I190" s="89"/>
      <c r="J190" s="89"/>
      <c r="K190" s="90"/>
      <c r="L190" s="86"/>
    </row>
    <row r="191">
      <c r="A191" s="84" t="s">
        <v>17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90"/>
      <c r="L191" s="86"/>
    </row>
    <row r="192">
      <c r="A192" s="84" t="s">
        <v>76</v>
      </c>
      <c r="B192" s="89"/>
      <c r="C192" s="89"/>
      <c r="D192" s="89"/>
      <c r="E192" s="89"/>
      <c r="F192" s="89"/>
      <c r="G192" s="89"/>
      <c r="H192" s="89"/>
      <c r="I192" s="89"/>
      <c r="J192" s="89"/>
      <c r="K192" s="90"/>
      <c r="L192" s="115"/>
    </row>
    <row r="193">
      <c r="A193" s="84" t="s">
        <v>77</v>
      </c>
      <c r="B193" s="89"/>
      <c r="C193" s="89"/>
      <c r="D193" s="89"/>
      <c r="E193" s="89"/>
      <c r="F193" s="89"/>
      <c r="G193" s="89"/>
      <c r="H193" s="89"/>
      <c r="I193" s="89"/>
      <c r="J193" s="89"/>
      <c r="K193" s="90"/>
      <c r="L193" s="116">
        <f>SUM(K175:K181,K187:K193)</f>
        <v>0</v>
      </c>
    </row>
    <row r="195">
      <c r="A195" s="208" t="s">
        <v>201</v>
      </c>
      <c r="B195" s="50"/>
      <c r="C195" s="50"/>
      <c r="D195" s="50"/>
      <c r="E195" s="50"/>
      <c r="F195" s="50"/>
      <c r="G195" s="50"/>
      <c r="H195" s="50"/>
      <c r="I195" s="50"/>
      <c r="J195" s="50"/>
      <c r="K195" s="77"/>
      <c r="L195" s="78" t="s">
        <v>49</v>
      </c>
    </row>
    <row r="196">
      <c r="A196" s="84"/>
      <c r="B196" s="82" t="s">
        <v>1</v>
      </c>
      <c r="C196" s="50"/>
      <c r="D196" s="50"/>
      <c r="E196" s="50"/>
      <c r="F196" s="50"/>
      <c r="G196" s="50"/>
      <c r="H196" s="50"/>
      <c r="I196" s="50"/>
      <c r="J196" s="51"/>
      <c r="K196" s="85"/>
      <c r="L196" s="86"/>
    </row>
    <row r="197">
      <c r="A197" s="84" t="s">
        <v>52</v>
      </c>
      <c r="B197" s="89">
        <v>28.0</v>
      </c>
      <c r="C197" s="89">
        <v>30.0</v>
      </c>
      <c r="D197" s="89">
        <v>32.0</v>
      </c>
      <c r="E197" s="89">
        <v>34.0</v>
      </c>
      <c r="F197" s="89">
        <v>36.0</v>
      </c>
      <c r="G197" s="89">
        <v>38.0</v>
      </c>
      <c r="H197" s="89">
        <v>40.0</v>
      </c>
      <c r="I197" s="89"/>
      <c r="J197" s="89"/>
      <c r="K197" s="90"/>
      <c r="L197" s="86"/>
    </row>
    <row r="198">
      <c r="A198" s="84"/>
      <c r="B198" s="112" t="s">
        <v>4</v>
      </c>
      <c r="C198" s="112" t="s">
        <v>53</v>
      </c>
      <c r="D198" s="112" t="s">
        <v>54</v>
      </c>
      <c r="E198" s="112" t="s">
        <v>55</v>
      </c>
      <c r="F198" s="112" t="s">
        <v>56</v>
      </c>
      <c r="G198" s="112" t="s">
        <v>9</v>
      </c>
      <c r="H198" s="112" t="s">
        <v>10</v>
      </c>
      <c r="I198" s="112" t="s">
        <v>11</v>
      </c>
      <c r="J198" s="112" t="s">
        <v>12</v>
      </c>
      <c r="K198" s="113" t="s">
        <v>49</v>
      </c>
      <c r="L198" s="86"/>
    </row>
    <row r="199">
      <c r="A199" s="84" t="s">
        <v>59</v>
      </c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6"/>
    </row>
    <row r="200">
      <c r="A200" s="84" t="s">
        <v>60</v>
      </c>
      <c r="B200" s="89"/>
      <c r="C200" s="89"/>
      <c r="D200" s="89">
        <f>1</f>
        <v>1</v>
      </c>
      <c r="E200" s="89"/>
      <c r="F200" s="89"/>
      <c r="G200" s="89"/>
      <c r="H200" s="89"/>
      <c r="I200" s="89"/>
      <c r="J200" s="89"/>
      <c r="K200" s="89"/>
      <c r="L200" s="86"/>
    </row>
    <row r="201">
      <c r="L201" s="86"/>
    </row>
    <row r="202">
      <c r="A202" s="208" t="s">
        <v>201</v>
      </c>
      <c r="B202" s="50"/>
      <c r="C202" s="50"/>
      <c r="D202" s="50"/>
      <c r="E202" s="50"/>
      <c r="F202" s="50"/>
      <c r="G202" s="50"/>
      <c r="H202" s="50"/>
      <c r="I202" s="50"/>
      <c r="J202" s="50"/>
      <c r="K202" s="77"/>
      <c r="L202" s="86"/>
    </row>
    <row r="203">
      <c r="A203" s="107"/>
      <c r="B203" s="82" t="s">
        <v>2</v>
      </c>
      <c r="C203" s="50"/>
      <c r="D203" s="50"/>
      <c r="E203" s="50"/>
      <c r="F203" s="50"/>
      <c r="G203" s="50"/>
      <c r="H203" s="50"/>
      <c r="I203" s="50"/>
      <c r="J203" s="51"/>
      <c r="K203" s="85"/>
      <c r="L203" s="86"/>
    </row>
    <row r="204">
      <c r="A204" s="84" t="s">
        <v>52</v>
      </c>
      <c r="B204" s="89">
        <v>28.0</v>
      </c>
      <c r="C204" s="89">
        <v>30.0</v>
      </c>
      <c r="D204" s="89">
        <v>32.0</v>
      </c>
      <c r="E204" s="89">
        <v>34.0</v>
      </c>
      <c r="F204" s="89">
        <v>36.0</v>
      </c>
      <c r="G204" s="89">
        <v>38.0</v>
      </c>
      <c r="H204" s="89">
        <v>40.0</v>
      </c>
      <c r="I204" s="89"/>
      <c r="J204" s="89"/>
      <c r="K204" s="90"/>
      <c r="L204" s="86"/>
    </row>
    <row r="205">
      <c r="A205" s="84"/>
      <c r="B205" s="112" t="s">
        <v>4</v>
      </c>
      <c r="C205" s="112" t="s">
        <v>53</v>
      </c>
      <c r="D205" s="112" t="s">
        <v>54</v>
      </c>
      <c r="E205" s="112" t="s">
        <v>55</v>
      </c>
      <c r="F205" s="112" t="s">
        <v>56</v>
      </c>
      <c r="G205" s="112" t="s">
        <v>9</v>
      </c>
      <c r="H205" s="112" t="s">
        <v>10</v>
      </c>
      <c r="I205" s="112" t="s">
        <v>11</v>
      </c>
      <c r="J205" s="112" t="s">
        <v>12</v>
      </c>
      <c r="K205" s="113" t="s">
        <v>49</v>
      </c>
      <c r="L205" s="86"/>
    </row>
    <row r="206">
      <c r="A206" s="84" t="s">
        <v>59</v>
      </c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115"/>
    </row>
    <row r="207">
      <c r="A207" s="84" t="s">
        <v>60</v>
      </c>
      <c r="B207" s="89"/>
      <c r="C207" s="89"/>
      <c r="D207" s="89"/>
      <c r="E207" s="100"/>
      <c r="F207" s="89"/>
      <c r="G207" s="89"/>
      <c r="H207" s="89"/>
      <c r="I207" s="89"/>
      <c r="J207" s="89"/>
      <c r="K207" s="89"/>
      <c r="L207" s="116">
        <f>SUM(K207,K206)</f>
        <v>0</v>
      </c>
    </row>
    <row r="210">
      <c r="A210" s="208" t="s">
        <v>202</v>
      </c>
      <c r="B210" s="50"/>
      <c r="C210" s="50"/>
      <c r="D210" s="50"/>
      <c r="E210" s="50"/>
      <c r="F210" s="50"/>
      <c r="G210" s="50"/>
      <c r="H210" s="50"/>
      <c r="I210" s="50"/>
      <c r="J210" s="50"/>
      <c r="K210" s="51"/>
      <c r="L210" s="133" t="s">
        <v>49</v>
      </c>
    </row>
    <row r="211">
      <c r="A211" s="107"/>
      <c r="B211" s="82" t="s">
        <v>42</v>
      </c>
      <c r="C211" s="50"/>
      <c r="D211" s="50"/>
      <c r="E211" s="50"/>
      <c r="F211" s="50"/>
      <c r="G211" s="50"/>
      <c r="H211" s="50"/>
      <c r="I211" s="50"/>
      <c r="J211" s="51"/>
      <c r="K211" s="112"/>
      <c r="L211" s="86"/>
    </row>
    <row r="212">
      <c r="A212" s="84" t="s">
        <v>52</v>
      </c>
      <c r="B212" s="89">
        <v>28.0</v>
      </c>
      <c r="C212" s="89">
        <v>30.0</v>
      </c>
      <c r="D212" s="89">
        <v>32.0</v>
      </c>
      <c r="E212" s="89">
        <v>34.0</v>
      </c>
      <c r="F212" s="89">
        <v>36.0</v>
      </c>
      <c r="G212" s="89">
        <v>38.0</v>
      </c>
      <c r="H212" s="89">
        <v>40.0</v>
      </c>
      <c r="I212" s="89"/>
      <c r="J212" s="89"/>
      <c r="K212" s="89"/>
      <c r="L212" s="86"/>
    </row>
    <row r="213">
      <c r="A213" s="84"/>
      <c r="B213" s="112" t="s">
        <v>4</v>
      </c>
      <c r="C213" s="112" t="s">
        <v>53</v>
      </c>
      <c r="D213" s="112" t="s">
        <v>54</v>
      </c>
      <c r="E213" s="112" t="s">
        <v>55</v>
      </c>
      <c r="F213" s="112" t="s">
        <v>56</v>
      </c>
      <c r="G213" s="112" t="s">
        <v>9</v>
      </c>
      <c r="H213" s="112" t="s">
        <v>10</v>
      </c>
      <c r="I213" s="112" t="s">
        <v>11</v>
      </c>
      <c r="J213" s="112" t="s">
        <v>12</v>
      </c>
      <c r="K213" s="134" t="s">
        <v>49</v>
      </c>
      <c r="L213" s="86"/>
    </row>
    <row r="214">
      <c r="A214" s="84" t="s">
        <v>59</v>
      </c>
      <c r="B214" s="89"/>
      <c r="C214" s="89"/>
      <c r="D214" s="89">
        <f>1</f>
        <v>1</v>
      </c>
      <c r="E214" s="89"/>
      <c r="F214" s="89"/>
      <c r="G214" s="89"/>
      <c r="H214" s="89"/>
      <c r="I214" s="89"/>
      <c r="J214" s="89"/>
      <c r="K214" s="103"/>
      <c r="L214" s="115"/>
    </row>
    <row r="215">
      <c r="A215" s="84" t="s">
        <v>60</v>
      </c>
      <c r="B215" s="89"/>
      <c r="C215" s="89"/>
      <c r="D215" s="89"/>
      <c r="E215" s="89"/>
      <c r="F215" s="89"/>
      <c r="G215" s="89"/>
      <c r="H215" s="100"/>
      <c r="I215" s="89"/>
      <c r="J215" s="89"/>
      <c r="K215" s="103"/>
      <c r="L215" s="136">
        <f>SUM(K215,K214)</f>
        <v>0</v>
      </c>
    </row>
    <row r="217">
      <c r="A217" s="71" t="s">
        <v>46</v>
      </c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</row>
    <row r="218">
      <c r="A218" s="208" t="s">
        <v>203</v>
      </c>
      <c r="B218" s="50"/>
      <c r="C218" s="50"/>
      <c r="D218" s="50"/>
      <c r="E218" s="50"/>
      <c r="F218" s="50"/>
      <c r="G218" s="50"/>
      <c r="H218" s="50"/>
      <c r="I218" s="50"/>
      <c r="J218" s="50"/>
      <c r="K218" s="77"/>
      <c r="L218" s="80" t="s">
        <v>49</v>
      </c>
    </row>
    <row r="219">
      <c r="A219" s="84"/>
      <c r="B219" s="82" t="s">
        <v>1</v>
      </c>
      <c r="C219" s="50"/>
      <c r="D219" s="50"/>
      <c r="E219" s="50"/>
      <c r="F219" s="50"/>
      <c r="G219" s="50"/>
      <c r="H219" s="50"/>
      <c r="I219" s="50"/>
      <c r="J219" s="51"/>
      <c r="K219" s="87"/>
      <c r="L219" s="86"/>
    </row>
    <row r="220">
      <c r="A220" s="84" t="s">
        <v>52</v>
      </c>
      <c r="B220" s="89">
        <v>28.0</v>
      </c>
      <c r="C220" s="89">
        <v>30.0</v>
      </c>
      <c r="D220" s="89">
        <v>32.0</v>
      </c>
      <c r="E220" s="89">
        <v>34.0</v>
      </c>
      <c r="F220" s="89">
        <v>36.0</v>
      </c>
      <c r="G220" s="89">
        <v>38.0</v>
      </c>
      <c r="H220" s="89">
        <v>40.0</v>
      </c>
      <c r="I220" s="89"/>
      <c r="J220" s="89"/>
      <c r="K220" s="87"/>
      <c r="L220" s="86"/>
    </row>
    <row r="221">
      <c r="A221" s="96"/>
      <c r="B221" s="92" t="s">
        <v>4</v>
      </c>
      <c r="C221" s="92" t="s">
        <v>53</v>
      </c>
      <c r="D221" s="92" t="s">
        <v>54</v>
      </c>
      <c r="E221" s="92" t="s">
        <v>55</v>
      </c>
      <c r="F221" s="92" t="s">
        <v>56</v>
      </c>
      <c r="G221" s="92" t="s">
        <v>9</v>
      </c>
      <c r="H221" s="92" t="s">
        <v>10</v>
      </c>
      <c r="I221" s="92" t="s">
        <v>11</v>
      </c>
      <c r="J221" s="92" t="s">
        <v>12</v>
      </c>
      <c r="K221" s="97" t="s">
        <v>49</v>
      </c>
      <c r="L221" s="86"/>
    </row>
    <row r="222">
      <c r="A222" s="84" t="s">
        <v>59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6"/>
    </row>
    <row r="223">
      <c r="A223" s="84" t="s">
        <v>60</v>
      </c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6"/>
    </row>
    <row r="224">
      <c r="L224" s="86"/>
    </row>
    <row r="225">
      <c r="A225" s="208" t="s">
        <v>204</v>
      </c>
      <c r="B225" s="50"/>
      <c r="C225" s="50"/>
      <c r="D225" s="50"/>
      <c r="E225" s="50"/>
      <c r="F225" s="50"/>
      <c r="G225" s="50"/>
      <c r="H225" s="50"/>
      <c r="I225" s="50"/>
      <c r="J225" s="50"/>
      <c r="K225" s="77"/>
      <c r="L225" s="86"/>
    </row>
    <row r="226">
      <c r="A226" s="107"/>
      <c r="B226" s="82" t="s">
        <v>2</v>
      </c>
      <c r="C226" s="50"/>
      <c r="D226" s="50"/>
      <c r="E226" s="50"/>
      <c r="F226" s="50"/>
      <c r="G226" s="50"/>
      <c r="H226" s="50"/>
      <c r="I226" s="50"/>
      <c r="J226" s="51"/>
      <c r="K226" s="87"/>
      <c r="L226" s="86"/>
    </row>
    <row r="227">
      <c r="A227" s="84" t="s">
        <v>52</v>
      </c>
      <c r="B227" s="89">
        <v>28.0</v>
      </c>
      <c r="C227" s="89">
        <v>30.0</v>
      </c>
      <c r="D227" s="89">
        <v>32.0</v>
      </c>
      <c r="E227" s="89">
        <v>34.0</v>
      </c>
      <c r="F227" s="89">
        <v>36.0</v>
      </c>
      <c r="G227" s="89">
        <v>38.0</v>
      </c>
      <c r="H227" s="89">
        <v>40.0</v>
      </c>
      <c r="I227" s="89"/>
      <c r="J227" s="89"/>
      <c r="K227" s="87"/>
      <c r="L227" s="86"/>
    </row>
    <row r="228">
      <c r="A228" s="84"/>
      <c r="B228" s="112" t="s">
        <v>4</v>
      </c>
      <c r="C228" s="112" t="s">
        <v>53</v>
      </c>
      <c r="D228" s="112" t="s">
        <v>54</v>
      </c>
      <c r="E228" s="112" t="s">
        <v>55</v>
      </c>
      <c r="F228" s="112" t="s">
        <v>56</v>
      </c>
      <c r="G228" s="112" t="s">
        <v>9</v>
      </c>
      <c r="H228" s="112" t="s">
        <v>10</v>
      </c>
      <c r="I228" s="112" t="s">
        <v>11</v>
      </c>
      <c r="J228" s="112" t="s">
        <v>12</v>
      </c>
      <c r="K228" s="113" t="s">
        <v>49</v>
      </c>
      <c r="L228" s="86"/>
    </row>
    <row r="229">
      <c r="A229" s="84" t="s">
        <v>59</v>
      </c>
      <c r="B229" s="89"/>
      <c r="C229" s="89"/>
      <c r="D229" s="89">
        <f>1</f>
        <v>1</v>
      </c>
      <c r="E229" s="89"/>
      <c r="F229" s="89"/>
      <c r="G229" s="89"/>
      <c r="H229" s="89"/>
      <c r="I229" s="89"/>
      <c r="J229" s="89"/>
      <c r="K229" s="89"/>
      <c r="L229" s="115"/>
    </row>
    <row r="230">
      <c r="A230" s="84" t="s">
        <v>60</v>
      </c>
      <c r="B230" s="89"/>
      <c r="C230" s="89"/>
      <c r="D230" s="89"/>
      <c r="E230" s="89"/>
      <c r="F230" s="89"/>
      <c r="G230" s="100"/>
      <c r="H230" s="89"/>
      <c r="I230" s="89"/>
      <c r="J230" s="89"/>
      <c r="K230" s="89"/>
      <c r="L230" s="118">
        <f>SUM(K222:K223,K229:K230)</f>
        <v>0</v>
      </c>
    </row>
    <row r="232">
      <c r="A232" s="210" t="s">
        <v>205</v>
      </c>
      <c r="B232" s="50"/>
      <c r="C232" s="50"/>
      <c r="D232" s="50"/>
      <c r="E232" s="50"/>
      <c r="F232" s="50"/>
      <c r="G232" s="50"/>
      <c r="H232" s="50"/>
      <c r="I232" s="50"/>
      <c r="J232" s="50"/>
      <c r="K232" s="77"/>
      <c r="L232" s="78" t="s">
        <v>49</v>
      </c>
    </row>
    <row r="233">
      <c r="A233" s="84"/>
      <c r="B233" s="82" t="s">
        <v>1</v>
      </c>
      <c r="C233" s="50"/>
      <c r="D233" s="50"/>
      <c r="E233" s="50"/>
      <c r="F233" s="50"/>
      <c r="G233" s="50"/>
      <c r="H233" s="50"/>
      <c r="I233" s="50"/>
      <c r="J233" s="51"/>
      <c r="K233" s="87"/>
      <c r="L233" s="86"/>
    </row>
    <row r="234">
      <c r="A234" s="84" t="s">
        <v>52</v>
      </c>
      <c r="B234" s="89">
        <v>28.0</v>
      </c>
      <c r="C234" s="89">
        <v>30.0</v>
      </c>
      <c r="D234" s="89">
        <v>32.0</v>
      </c>
      <c r="E234" s="89">
        <v>34.0</v>
      </c>
      <c r="F234" s="89">
        <v>36.0</v>
      </c>
      <c r="G234" s="89">
        <v>38.0</v>
      </c>
      <c r="H234" s="89">
        <v>40.0</v>
      </c>
      <c r="I234" s="89"/>
      <c r="J234" s="89"/>
      <c r="K234" s="87"/>
      <c r="L234" s="86"/>
    </row>
    <row r="235">
      <c r="A235" s="84"/>
      <c r="B235" s="112" t="s">
        <v>4</v>
      </c>
      <c r="C235" s="112" t="s">
        <v>53</v>
      </c>
      <c r="D235" s="112" t="s">
        <v>54</v>
      </c>
      <c r="E235" s="112" t="s">
        <v>55</v>
      </c>
      <c r="F235" s="112" t="s">
        <v>56</v>
      </c>
      <c r="G235" s="112" t="s">
        <v>9</v>
      </c>
      <c r="H235" s="112" t="s">
        <v>10</v>
      </c>
      <c r="I235" s="112" t="s">
        <v>11</v>
      </c>
      <c r="J235" s="112" t="s">
        <v>12</v>
      </c>
      <c r="K235" s="113" t="s">
        <v>49</v>
      </c>
      <c r="L235" s="86"/>
    </row>
    <row r="236">
      <c r="A236" s="84" t="s">
        <v>59</v>
      </c>
      <c r="B236" s="89">
        <f>1</f>
        <v>1</v>
      </c>
      <c r="C236" s="89"/>
      <c r="D236" s="100"/>
      <c r="E236" s="89"/>
      <c r="F236" s="89"/>
      <c r="G236" s="89"/>
      <c r="H236" s="89"/>
      <c r="I236" s="89"/>
      <c r="J236" s="89"/>
      <c r="K236" s="89"/>
      <c r="L236" s="86"/>
    </row>
    <row r="237">
      <c r="A237" s="84" t="s">
        <v>60</v>
      </c>
      <c r="B237" s="89"/>
      <c r="C237" s="89"/>
      <c r="D237" s="211"/>
      <c r="E237" s="100"/>
      <c r="F237" s="89"/>
      <c r="G237" s="89"/>
      <c r="H237" s="89"/>
      <c r="I237" s="89"/>
      <c r="J237" s="89"/>
      <c r="K237" s="89"/>
      <c r="L237" s="86"/>
    </row>
    <row r="238">
      <c r="A238" s="84" t="s">
        <v>65</v>
      </c>
      <c r="B238" s="89"/>
      <c r="C238" s="89"/>
      <c r="D238" s="105"/>
      <c r="E238" s="89"/>
      <c r="F238" s="105"/>
      <c r="G238" s="105"/>
      <c r="H238" s="89"/>
      <c r="I238" s="89"/>
      <c r="J238" s="89"/>
      <c r="K238" s="89"/>
      <c r="L238" s="86"/>
    </row>
    <row r="239">
      <c r="G239" s="125"/>
      <c r="L239" s="86"/>
    </row>
    <row r="240">
      <c r="A240" s="208" t="s">
        <v>205</v>
      </c>
      <c r="B240" s="50"/>
      <c r="C240" s="50"/>
      <c r="D240" s="50"/>
      <c r="E240" s="50"/>
      <c r="F240" s="50"/>
      <c r="G240" s="50"/>
      <c r="H240" s="50"/>
      <c r="I240" s="50"/>
      <c r="J240" s="50"/>
      <c r="K240" s="77"/>
      <c r="L240" s="86"/>
    </row>
    <row r="241">
      <c r="A241" s="107"/>
      <c r="B241" s="82" t="s">
        <v>2</v>
      </c>
      <c r="C241" s="50"/>
      <c r="D241" s="50"/>
      <c r="E241" s="50"/>
      <c r="F241" s="50"/>
      <c r="G241" s="50"/>
      <c r="H241" s="50"/>
      <c r="I241" s="50"/>
      <c r="J241" s="51"/>
      <c r="K241" s="87"/>
      <c r="L241" s="86"/>
    </row>
    <row r="242">
      <c r="A242" s="84" t="s">
        <v>52</v>
      </c>
      <c r="B242" s="89">
        <v>28.0</v>
      </c>
      <c r="C242" s="89">
        <v>30.0</v>
      </c>
      <c r="D242" s="89">
        <v>32.0</v>
      </c>
      <c r="E242" s="89">
        <v>34.0</v>
      </c>
      <c r="F242" s="89">
        <v>36.0</v>
      </c>
      <c r="G242" s="89">
        <v>38.0</v>
      </c>
      <c r="H242" s="89">
        <v>40.0</v>
      </c>
      <c r="I242" s="89"/>
      <c r="J242" s="89"/>
      <c r="K242" s="87"/>
      <c r="L242" s="86"/>
    </row>
    <row r="243">
      <c r="A243" s="84"/>
      <c r="B243" s="112" t="s">
        <v>4</v>
      </c>
      <c r="C243" s="112" t="s">
        <v>53</v>
      </c>
      <c r="D243" s="112" t="s">
        <v>54</v>
      </c>
      <c r="E243" s="112" t="s">
        <v>55</v>
      </c>
      <c r="F243" s="112" t="s">
        <v>56</v>
      </c>
      <c r="G243" s="112" t="s">
        <v>9</v>
      </c>
      <c r="H243" s="112" t="s">
        <v>10</v>
      </c>
      <c r="I243" s="112" t="s">
        <v>11</v>
      </c>
      <c r="J243" s="112" t="s">
        <v>12</v>
      </c>
      <c r="K243" s="113" t="s">
        <v>49</v>
      </c>
      <c r="L243" s="86"/>
    </row>
    <row r="244">
      <c r="A244" s="84" t="s">
        <v>59</v>
      </c>
      <c r="B244" s="89"/>
      <c r="C244" s="89"/>
      <c r="D244" s="89"/>
      <c r="E244" s="89"/>
      <c r="F244" s="89"/>
      <c r="G244" s="89"/>
      <c r="H244" s="89"/>
      <c r="I244" s="89"/>
      <c r="J244" s="89"/>
      <c r="K244" s="89">
        <f t="shared" ref="K244:K246" si="31">SUM(B244:J244)</f>
        <v>0</v>
      </c>
      <c r="L244" s="86"/>
    </row>
    <row r="245">
      <c r="A245" s="84" t="s">
        <v>60</v>
      </c>
      <c r="B245" s="89"/>
      <c r="C245" s="89"/>
      <c r="D245" s="89"/>
      <c r="E245" s="89"/>
      <c r="F245" s="89"/>
      <c r="G245" s="89"/>
      <c r="H245" s="89"/>
      <c r="I245" s="89"/>
      <c r="J245" s="89"/>
      <c r="K245" s="89">
        <f t="shared" si="31"/>
        <v>0</v>
      </c>
      <c r="L245" s="115"/>
    </row>
    <row r="246">
      <c r="A246" s="84" t="s">
        <v>17</v>
      </c>
      <c r="B246" s="105"/>
      <c r="C246" s="105"/>
      <c r="D246" s="105"/>
      <c r="E246" s="105"/>
      <c r="F246" s="89"/>
      <c r="G246" s="105"/>
      <c r="H246" s="89"/>
      <c r="I246" s="100"/>
      <c r="J246" s="89"/>
      <c r="K246" s="89">
        <f t="shared" si="31"/>
        <v>0</v>
      </c>
      <c r="L246" s="118">
        <f>SUM(K236:K238,K244:K246)</f>
        <v>0</v>
      </c>
    </row>
    <row r="247">
      <c r="K247" s="99"/>
    </row>
    <row r="248">
      <c r="A248" s="208" t="s">
        <v>206</v>
      </c>
      <c r="B248" s="50"/>
      <c r="C248" s="50"/>
      <c r="D248" s="50"/>
      <c r="E248" s="50"/>
      <c r="F248" s="50"/>
      <c r="G248" s="50"/>
      <c r="H248" s="50"/>
      <c r="I248" s="50"/>
      <c r="J248" s="50"/>
      <c r="K248" s="77"/>
      <c r="L248" s="78" t="s">
        <v>49</v>
      </c>
    </row>
    <row r="249">
      <c r="A249" s="84"/>
      <c r="B249" s="82" t="s">
        <v>1</v>
      </c>
      <c r="C249" s="50"/>
      <c r="D249" s="50"/>
      <c r="E249" s="50"/>
      <c r="F249" s="50"/>
      <c r="G249" s="50"/>
      <c r="H249" s="50"/>
      <c r="I249" s="50"/>
      <c r="J249" s="51"/>
      <c r="K249" s="87"/>
      <c r="L249" s="86"/>
    </row>
    <row r="250">
      <c r="A250" s="84" t="s">
        <v>52</v>
      </c>
      <c r="B250" s="89">
        <v>28.0</v>
      </c>
      <c r="C250" s="89">
        <v>30.0</v>
      </c>
      <c r="D250" s="89">
        <v>32.0</v>
      </c>
      <c r="E250" s="89">
        <v>34.0</v>
      </c>
      <c r="F250" s="89">
        <v>36.0</v>
      </c>
      <c r="G250" s="89">
        <v>38.0</v>
      </c>
      <c r="H250" s="89">
        <v>40.0</v>
      </c>
      <c r="I250" s="89"/>
      <c r="J250" s="89"/>
      <c r="K250" s="87"/>
      <c r="L250" s="86"/>
    </row>
    <row r="251">
      <c r="A251" s="84"/>
      <c r="B251" s="112" t="s">
        <v>4</v>
      </c>
      <c r="C251" s="112" t="s">
        <v>53</v>
      </c>
      <c r="D251" s="112" t="s">
        <v>54</v>
      </c>
      <c r="E251" s="126" t="s">
        <v>55</v>
      </c>
      <c r="F251" s="112" t="s">
        <v>56</v>
      </c>
      <c r="G251" s="112" t="s">
        <v>9</v>
      </c>
      <c r="H251" s="112" t="s">
        <v>10</v>
      </c>
      <c r="I251" s="112" t="s">
        <v>11</v>
      </c>
      <c r="J251" s="112" t="s">
        <v>12</v>
      </c>
      <c r="K251" s="113" t="s">
        <v>49</v>
      </c>
      <c r="L251" s="86"/>
    </row>
    <row r="252">
      <c r="A252" s="84" t="s">
        <v>59</v>
      </c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6"/>
    </row>
    <row r="253">
      <c r="A253" s="84" t="s">
        <v>60</v>
      </c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6"/>
    </row>
    <row r="254">
      <c r="A254" s="84" t="s">
        <v>65</v>
      </c>
      <c r="B254" s="89"/>
      <c r="C254" s="89"/>
      <c r="D254" s="89">
        <f>1</f>
        <v>1</v>
      </c>
      <c r="E254" s="89"/>
      <c r="F254" s="89"/>
      <c r="G254" s="89"/>
      <c r="H254" s="89"/>
      <c r="I254" s="89"/>
      <c r="J254" s="89"/>
      <c r="K254" s="89"/>
      <c r="L254" s="86"/>
    </row>
    <row r="255">
      <c r="A255" s="84" t="s">
        <v>75</v>
      </c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6"/>
    </row>
    <row r="256">
      <c r="A256" s="84"/>
      <c r="B256" s="89"/>
      <c r="C256" s="89"/>
      <c r="D256" s="89"/>
      <c r="E256" s="89"/>
      <c r="F256" s="89"/>
      <c r="G256" s="89"/>
      <c r="H256" s="89"/>
      <c r="I256" s="89"/>
      <c r="J256" s="89"/>
      <c r="K256" s="87"/>
      <c r="L256" s="86"/>
    </row>
    <row r="257">
      <c r="A257" s="84"/>
      <c r="B257" s="89"/>
      <c r="C257" s="89"/>
      <c r="D257" s="89"/>
      <c r="E257" s="89"/>
      <c r="F257" s="89"/>
      <c r="G257" s="89"/>
      <c r="H257" s="89"/>
      <c r="I257" s="89"/>
      <c r="J257" s="89"/>
      <c r="K257" s="87"/>
      <c r="L257" s="86"/>
    </row>
    <row r="258">
      <c r="A258" s="84"/>
      <c r="B258" s="89"/>
      <c r="C258" s="89"/>
      <c r="D258" s="89"/>
      <c r="E258" s="89"/>
      <c r="F258" s="89"/>
      <c r="G258" s="89"/>
      <c r="H258" s="89"/>
      <c r="I258" s="89"/>
      <c r="J258" s="89"/>
      <c r="K258" s="87"/>
      <c r="L258" s="86"/>
    </row>
    <row r="259">
      <c r="L259" s="86"/>
    </row>
    <row r="260">
      <c r="A260" s="208" t="s">
        <v>206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77"/>
      <c r="L260" s="86"/>
    </row>
    <row r="261">
      <c r="A261" s="107"/>
      <c r="B261" s="82" t="s">
        <v>2</v>
      </c>
      <c r="C261" s="50"/>
      <c r="D261" s="50"/>
      <c r="E261" s="50"/>
      <c r="F261" s="50"/>
      <c r="G261" s="50"/>
      <c r="H261" s="50"/>
      <c r="I261" s="50"/>
      <c r="J261" s="51"/>
      <c r="K261" s="87"/>
      <c r="L261" s="86"/>
    </row>
    <row r="262">
      <c r="A262" s="84" t="s">
        <v>52</v>
      </c>
      <c r="B262" s="89">
        <v>28.0</v>
      </c>
      <c r="C262" s="89">
        <v>30.0</v>
      </c>
      <c r="D262" s="89">
        <v>32.0</v>
      </c>
      <c r="E262" s="89">
        <v>34.0</v>
      </c>
      <c r="F262" s="89">
        <v>36.0</v>
      </c>
      <c r="G262" s="89">
        <v>38.0</v>
      </c>
      <c r="H262" s="89">
        <v>40.0</v>
      </c>
      <c r="I262" s="89"/>
      <c r="J262" s="89"/>
      <c r="K262" s="87"/>
      <c r="L262" s="86"/>
    </row>
    <row r="263">
      <c r="A263" s="84"/>
      <c r="B263" s="112" t="s">
        <v>4</v>
      </c>
      <c r="C263" s="112" t="s">
        <v>53</v>
      </c>
      <c r="D263" s="112" t="s">
        <v>54</v>
      </c>
      <c r="E263" s="112" t="s">
        <v>55</v>
      </c>
      <c r="F263" s="112" t="s">
        <v>56</v>
      </c>
      <c r="G263" s="112" t="s">
        <v>9</v>
      </c>
      <c r="H263" s="112" t="s">
        <v>10</v>
      </c>
      <c r="I263" s="112" t="s">
        <v>11</v>
      </c>
      <c r="J263" s="112" t="s">
        <v>12</v>
      </c>
      <c r="K263" s="113" t="s">
        <v>49</v>
      </c>
      <c r="L263" s="86"/>
    </row>
    <row r="264">
      <c r="A264" s="84" t="s">
        <v>59</v>
      </c>
      <c r="B264" s="89"/>
      <c r="C264" s="89"/>
      <c r="D264" s="89"/>
      <c r="E264" s="89">
        <f>1</f>
        <v>1</v>
      </c>
      <c r="F264" s="89"/>
      <c r="G264" s="89"/>
      <c r="H264" s="89"/>
      <c r="I264" s="89"/>
      <c r="J264" s="89"/>
      <c r="K264" s="89"/>
      <c r="L264" s="86"/>
    </row>
    <row r="265">
      <c r="A265" s="84" t="s">
        <v>60</v>
      </c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6"/>
    </row>
    <row r="266">
      <c r="A266" s="84" t="s">
        <v>17</v>
      </c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6"/>
    </row>
    <row r="267">
      <c r="A267" s="131" t="s">
        <v>75</v>
      </c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6"/>
    </row>
    <row r="268">
      <c r="A268" s="84"/>
      <c r="B268" s="89"/>
      <c r="C268" s="89"/>
      <c r="D268" s="89"/>
      <c r="E268" s="89"/>
      <c r="F268" s="89"/>
      <c r="G268" s="89"/>
      <c r="H268" s="89"/>
      <c r="I268" s="89"/>
      <c r="J268" s="89"/>
      <c r="K268" s="87"/>
      <c r="L268" s="86"/>
    </row>
    <row r="269">
      <c r="A269" s="84"/>
      <c r="B269" s="89"/>
      <c r="C269" s="89"/>
      <c r="D269" s="89"/>
      <c r="E269" s="89"/>
      <c r="F269" s="89"/>
      <c r="G269" s="89"/>
      <c r="H269" s="89"/>
      <c r="I269" s="89"/>
      <c r="J269" s="89"/>
      <c r="K269" s="87"/>
      <c r="L269" s="115"/>
    </row>
    <row r="270">
      <c r="A270" s="84"/>
      <c r="B270" s="89"/>
      <c r="C270" s="89"/>
      <c r="D270" s="89"/>
      <c r="E270" s="89"/>
      <c r="F270" s="89"/>
      <c r="G270" s="89"/>
      <c r="H270" s="89"/>
      <c r="I270" s="89"/>
      <c r="J270" s="89"/>
      <c r="K270" s="87"/>
      <c r="L270" s="118">
        <f>SUM(K252:K258,K264:K270)</f>
        <v>0</v>
      </c>
    </row>
    <row r="272">
      <c r="A272" s="208" t="s">
        <v>207</v>
      </c>
      <c r="B272" s="50"/>
      <c r="C272" s="50"/>
      <c r="D272" s="50"/>
      <c r="E272" s="50"/>
      <c r="F272" s="50"/>
      <c r="G272" s="50"/>
      <c r="H272" s="50"/>
      <c r="I272" s="50"/>
      <c r="J272" s="50"/>
      <c r="K272" s="77"/>
      <c r="L272" s="78" t="s">
        <v>49</v>
      </c>
    </row>
    <row r="273">
      <c r="A273" s="84"/>
      <c r="B273" s="82" t="s">
        <v>1</v>
      </c>
      <c r="C273" s="50"/>
      <c r="D273" s="50"/>
      <c r="E273" s="50"/>
      <c r="F273" s="50"/>
      <c r="G273" s="50"/>
      <c r="H273" s="50"/>
      <c r="I273" s="50"/>
      <c r="J273" s="51"/>
      <c r="K273" s="87"/>
      <c r="L273" s="86"/>
    </row>
    <row r="274">
      <c r="A274" s="84" t="s">
        <v>52</v>
      </c>
      <c r="B274" s="89">
        <v>28.0</v>
      </c>
      <c r="C274" s="89">
        <v>30.0</v>
      </c>
      <c r="D274" s="89">
        <v>32.0</v>
      </c>
      <c r="E274" s="89">
        <v>34.0</v>
      </c>
      <c r="F274" s="89">
        <v>36.0</v>
      </c>
      <c r="G274" s="89">
        <v>38.0</v>
      </c>
      <c r="H274" s="89">
        <v>40.0</v>
      </c>
      <c r="I274" s="89"/>
      <c r="J274" s="89"/>
      <c r="K274" s="87"/>
      <c r="L274" s="86"/>
    </row>
    <row r="275">
      <c r="A275" s="84"/>
      <c r="B275" s="112" t="s">
        <v>4</v>
      </c>
      <c r="C275" s="112" t="s">
        <v>53</v>
      </c>
      <c r="D275" s="112" t="s">
        <v>54</v>
      </c>
      <c r="E275" s="112" t="s">
        <v>55</v>
      </c>
      <c r="F275" s="112" t="s">
        <v>56</v>
      </c>
      <c r="G275" s="112" t="s">
        <v>9</v>
      </c>
      <c r="H275" s="112" t="s">
        <v>10</v>
      </c>
      <c r="I275" s="112" t="s">
        <v>11</v>
      </c>
      <c r="J275" s="112" t="s">
        <v>12</v>
      </c>
      <c r="K275" s="113" t="s">
        <v>49</v>
      </c>
      <c r="L275" s="86"/>
    </row>
    <row r="276">
      <c r="A276" s="84" t="s">
        <v>59</v>
      </c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6"/>
    </row>
    <row r="277">
      <c r="A277" s="84" t="s">
        <v>60</v>
      </c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6"/>
    </row>
    <row r="278">
      <c r="L278" s="86"/>
    </row>
    <row r="279">
      <c r="A279" s="208" t="s">
        <v>207</v>
      </c>
      <c r="B279" s="50"/>
      <c r="C279" s="50"/>
      <c r="D279" s="50"/>
      <c r="E279" s="50"/>
      <c r="F279" s="50"/>
      <c r="G279" s="50"/>
      <c r="H279" s="50"/>
      <c r="I279" s="50"/>
      <c r="J279" s="50"/>
      <c r="K279" s="77"/>
      <c r="L279" s="86"/>
    </row>
    <row r="280">
      <c r="A280" s="107"/>
      <c r="B280" s="82" t="s">
        <v>2</v>
      </c>
      <c r="C280" s="50"/>
      <c r="D280" s="50"/>
      <c r="E280" s="50"/>
      <c r="F280" s="50"/>
      <c r="G280" s="50"/>
      <c r="H280" s="50"/>
      <c r="I280" s="50"/>
      <c r="J280" s="51"/>
      <c r="K280" s="87"/>
      <c r="L280" s="86"/>
    </row>
    <row r="281">
      <c r="A281" s="84" t="s">
        <v>52</v>
      </c>
      <c r="B281" s="89">
        <v>28.0</v>
      </c>
      <c r="C281" s="89">
        <v>30.0</v>
      </c>
      <c r="D281" s="89">
        <v>32.0</v>
      </c>
      <c r="E281" s="89">
        <v>34.0</v>
      </c>
      <c r="F281" s="89">
        <v>36.0</v>
      </c>
      <c r="G281" s="89">
        <v>38.0</v>
      </c>
      <c r="H281" s="89">
        <v>40.0</v>
      </c>
      <c r="I281" s="89"/>
      <c r="J281" s="89"/>
      <c r="K281" s="87"/>
      <c r="L281" s="86"/>
    </row>
    <row r="282">
      <c r="A282" s="84"/>
      <c r="B282" s="112" t="s">
        <v>4</v>
      </c>
      <c r="C282" s="112" t="s">
        <v>53</v>
      </c>
      <c r="D282" s="112" t="s">
        <v>54</v>
      </c>
      <c r="E282" s="112" t="s">
        <v>55</v>
      </c>
      <c r="F282" s="112" t="s">
        <v>56</v>
      </c>
      <c r="G282" s="112" t="s">
        <v>9</v>
      </c>
      <c r="H282" s="112" t="s">
        <v>10</v>
      </c>
      <c r="I282" s="112" t="s">
        <v>11</v>
      </c>
      <c r="J282" s="112" t="s">
        <v>12</v>
      </c>
      <c r="K282" s="113" t="s">
        <v>49</v>
      </c>
      <c r="L282" s="86"/>
    </row>
    <row r="283">
      <c r="A283" s="84" t="s">
        <v>59</v>
      </c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115"/>
    </row>
    <row r="284">
      <c r="A284" s="84" t="s">
        <v>60</v>
      </c>
      <c r="B284" s="89"/>
      <c r="C284" s="89"/>
      <c r="D284" s="89">
        <f>1</f>
        <v>1</v>
      </c>
      <c r="E284" s="89"/>
      <c r="F284" s="89"/>
      <c r="G284" s="89"/>
      <c r="H284" s="89"/>
      <c r="I284" s="89"/>
      <c r="J284" s="89"/>
      <c r="K284" s="89"/>
      <c r="L284" s="118">
        <f>SUM(K284,K283,K277,K276)</f>
        <v>0</v>
      </c>
    </row>
    <row r="286">
      <c r="A286" s="208" t="s">
        <v>208</v>
      </c>
      <c r="B286" s="50"/>
      <c r="C286" s="50"/>
      <c r="D286" s="50"/>
      <c r="E286" s="50"/>
      <c r="F286" s="50"/>
      <c r="G286" s="50"/>
      <c r="H286" s="50"/>
      <c r="I286" s="50"/>
      <c r="J286" s="50"/>
      <c r="K286" s="77"/>
      <c r="L286" s="133" t="s">
        <v>49</v>
      </c>
    </row>
    <row r="287">
      <c r="A287" s="107"/>
      <c r="B287" s="82" t="s">
        <v>42</v>
      </c>
      <c r="C287" s="50"/>
      <c r="D287" s="50"/>
      <c r="E287" s="50"/>
      <c r="F287" s="50"/>
      <c r="G287" s="50"/>
      <c r="H287" s="50"/>
      <c r="I287" s="50"/>
      <c r="J287" s="51"/>
      <c r="K287" s="87"/>
      <c r="L287" s="86"/>
    </row>
    <row r="288">
      <c r="A288" s="84" t="s">
        <v>52</v>
      </c>
      <c r="B288" s="89">
        <v>28.0</v>
      </c>
      <c r="C288" s="89">
        <v>30.0</v>
      </c>
      <c r="D288" s="89">
        <v>32.0</v>
      </c>
      <c r="E288" s="89">
        <v>34.0</v>
      </c>
      <c r="F288" s="89">
        <v>36.0</v>
      </c>
      <c r="G288" s="89">
        <v>38.0</v>
      </c>
      <c r="H288" s="89">
        <v>40.0</v>
      </c>
      <c r="I288" s="89"/>
      <c r="J288" s="89"/>
      <c r="K288" s="87"/>
      <c r="L288" s="86"/>
    </row>
    <row r="289">
      <c r="A289" s="84"/>
      <c r="B289" s="112" t="s">
        <v>4</v>
      </c>
      <c r="C289" s="112" t="s">
        <v>53</v>
      </c>
      <c r="D289" s="112" t="s">
        <v>54</v>
      </c>
      <c r="E289" s="112" t="s">
        <v>55</v>
      </c>
      <c r="F289" s="112" t="s">
        <v>56</v>
      </c>
      <c r="G289" s="112" t="s">
        <v>9</v>
      </c>
      <c r="H289" s="112" t="s">
        <v>10</v>
      </c>
      <c r="I289" s="112" t="s">
        <v>11</v>
      </c>
      <c r="J289" s="112" t="s">
        <v>12</v>
      </c>
      <c r="K289" s="113" t="s">
        <v>49</v>
      </c>
      <c r="L289" s="86"/>
    </row>
    <row r="290">
      <c r="A290" s="84" t="s">
        <v>59</v>
      </c>
      <c r="B290" s="89">
        <f t="shared" ref="B290:B291" si="32">1</f>
        <v>1</v>
      </c>
      <c r="C290" s="89"/>
      <c r="D290" s="89"/>
      <c r="E290" s="89"/>
      <c r="F290" s="89"/>
      <c r="G290" s="89"/>
      <c r="H290" s="89"/>
      <c r="I290" s="89"/>
      <c r="J290" s="89"/>
      <c r="K290" s="89"/>
      <c r="L290" s="115"/>
    </row>
    <row r="291">
      <c r="A291" s="84" t="s">
        <v>60</v>
      </c>
      <c r="B291" s="89">
        <f t="shared" si="32"/>
        <v>1</v>
      </c>
      <c r="C291" s="89"/>
      <c r="D291" s="89"/>
      <c r="E291" s="89"/>
      <c r="F291" s="89"/>
      <c r="G291" s="89"/>
      <c r="H291" s="89"/>
      <c r="I291" s="89"/>
      <c r="J291" s="89"/>
      <c r="K291" s="89"/>
      <c r="L291" s="118">
        <f>SUM(K290:K291)</f>
        <v>0</v>
      </c>
    </row>
    <row r="292">
      <c r="E292" s="120" t="s">
        <v>96</v>
      </c>
    </row>
    <row r="293">
      <c r="A293" s="208" t="s">
        <v>209</v>
      </c>
      <c r="B293" s="50"/>
      <c r="C293" s="50"/>
      <c r="D293" s="50"/>
      <c r="E293" s="50"/>
      <c r="F293" s="50"/>
      <c r="G293" s="50"/>
      <c r="H293" s="50"/>
      <c r="I293" s="50"/>
      <c r="J293" s="50"/>
      <c r="K293" s="77"/>
      <c r="L293" s="78" t="s">
        <v>49</v>
      </c>
    </row>
    <row r="294">
      <c r="A294" s="107"/>
      <c r="B294" s="82" t="s">
        <v>42</v>
      </c>
      <c r="C294" s="50"/>
      <c r="D294" s="50"/>
      <c r="E294" s="50"/>
      <c r="F294" s="50"/>
      <c r="G294" s="50"/>
      <c r="H294" s="50"/>
      <c r="I294" s="50"/>
      <c r="J294" s="51"/>
      <c r="K294" s="87"/>
      <c r="L294" s="86"/>
    </row>
    <row r="295">
      <c r="A295" s="84" t="s">
        <v>52</v>
      </c>
      <c r="B295" s="89">
        <v>42.0</v>
      </c>
      <c r="C295" s="89">
        <v>44.0</v>
      </c>
      <c r="D295" s="89">
        <v>46.0</v>
      </c>
      <c r="E295" s="89">
        <v>48.0</v>
      </c>
      <c r="F295" s="89">
        <v>50.0</v>
      </c>
      <c r="G295" s="89">
        <v>52.0</v>
      </c>
      <c r="H295" s="89">
        <v>54.0</v>
      </c>
      <c r="I295" s="89"/>
      <c r="J295" s="89"/>
      <c r="K295" s="87"/>
      <c r="L295" s="86"/>
    </row>
    <row r="296">
      <c r="A296" s="84"/>
      <c r="B296" s="112" t="s">
        <v>4</v>
      </c>
      <c r="C296" s="112" t="s">
        <v>53</v>
      </c>
      <c r="D296" s="112" t="s">
        <v>54</v>
      </c>
      <c r="E296" s="112" t="s">
        <v>55</v>
      </c>
      <c r="F296" s="112" t="s">
        <v>56</v>
      </c>
      <c r="G296" s="112" t="s">
        <v>9</v>
      </c>
      <c r="H296" s="112" t="s">
        <v>10</v>
      </c>
      <c r="I296" s="112" t="s">
        <v>11</v>
      </c>
      <c r="J296" s="112" t="s">
        <v>12</v>
      </c>
      <c r="K296" s="113" t="s">
        <v>49</v>
      </c>
      <c r="L296" s="86"/>
    </row>
    <row r="297">
      <c r="A297" s="139" t="s">
        <v>59</v>
      </c>
      <c r="B297" s="140"/>
      <c r="C297" s="140"/>
      <c r="D297" s="140"/>
      <c r="E297" s="140"/>
      <c r="F297" s="140"/>
      <c r="G297" s="140"/>
      <c r="H297" s="140"/>
      <c r="I297" s="140"/>
      <c r="J297" s="140"/>
      <c r="K297" s="89"/>
      <c r="L297" s="86"/>
    </row>
    <row r="298">
      <c r="A298" s="139" t="s">
        <v>60</v>
      </c>
      <c r="B298" s="140"/>
      <c r="C298" s="140"/>
      <c r="D298" s="140">
        <f>1</f>
        <v>1</v>
      </c>
      <c r="E298" s="140"/>
      <c r="F298" s="140"/>
      <c r="G298" s="140"/>
      <c r="H298" s="140"/>
      <c r="I298" s="140"/>
      <c r="J298" s="140"/>
      <c r="K298" s="89"/>
      <c r="L298" s="86"/>
    </row>
    <row r="299">
      <c r="A299" s="139" t="s">
        <v>57</v>
      </c>
      <c r="B299" s="140"/>
      <c r="C299" s="140"/>
      <c r="D299" s="140"/>
      <c r="E299" s="140"/>
      <c r="F299" s="140"/>
      <c r="G299" s="140"/>
      <c r="H299" s="140"/>
      <c r="I299" s="140"/>
      <c r="J299" s="140"/>
      <c r="K299" s="89"/>
      <c r="L299" s="86"/>
    </row>
    <row r="300">
      <c r="A300" s="139" t="s">
        <v>43</v>
      </c>
      <c r="B300" s="140"/>
      <c r="C300" s="140"/>
      <c r="D300" s="140"/>
      <c r="E300" s="140"/>
      <c r="F300" s="140"/>
      <c r="G300" s="140"/>
      <c r="H300" s="140"/>
      <c r="I300" s="140"/>
      <c r="J300" s="140"/>
      <c r="K300" s="89"/>
      <c r="L300" s="115"/>
    </row>
    <row r="301">
      <c r="A301" s="139" t="s">
        <v>17</v>
      </c>
      <c r="B301" s="140"/>
      <c r="C301" s="140"/>
      <c r="D301" s="140"/>
      <c r="E301" s="140"/>
      <c r="F301" s="140"/>
      <c r="G301" s="140"/>
      <c r="H301" s="140"/>
      <c r="I301" s="140"/>
      <c r="J301" s="140"/>
      <c r="K301" s="89"/>
      <c r="L301" s="118">
        <f>SUM(K297:K301)</f>
        <v>0</v>
      </c>
    </row>
    <row r="303">
      <c r="A303" s="208" t="s">
        <v>210</v>
      </c>
      <c r="B303" s="50"/>
      <c r="C303" s="50"/>
      <c r="D303" s="50"/>
      <c r="E303" s="50"/>
      <c r="F303" s="50"/>
      <c r="G303" s="50"/>
      <c r="H303" s="50"/>
      <c r="I303" s="50"/>
      <c r="J303" s="50"/>
      <c r="K303" s="77"/>
      <c r="L303" s="133" t="s">
        <v>49</v>
      </c>
    </row>
    <row r="304">
      <c r="A304" s="107"/>
      <c r="B304" s="82" t="s">
        <v>1</v>
      </c>
      <c r="C304" s="50"/>
      <c r="D304" s="50"/>
      <c r="E304" s="50"/>
      <c r="F304" s="50"/>
      <c r="G304" s="50"/>
      <c r="H304" s="50"/>
      <c r="I304" s="50"/>
      <c r="J304" s="51"/>
      <c r="K304" s="87"/>
      <c r="L304" s="86"/>
    </row>
    <row r="305">
      <c r="A305" s="84" t="s">
        <v>52</v>
      </c>
      <c r="B305" s="89">
        <v>28.0</v>
      </c>
      <c r="C305" s="89">
        <v>30.0</v>
      </c>
      <c r="D305" s="89">
        <v>32.0</v>
      </c>
      <c r="E305" s="89">
        <v>34.0</v>
      </c>
      <c r="F305" s="89">
        <v>36.0</v>
      </c>
      <c r="G305" s="89">
        <v>38.0</v>
      </c>
      <c r="H305" s="89">
        <v>40.0</v>
      </c>
      <c r="I305" s="89"/>
      <c r="J305" s="89"/>
      <c r="K305" s="87"/>
      <c r="L305" s="86"/>
    </row>
    <row r="306">
      <c r="A306" s="84"/>
      <c r="B306" s="112" t="s">
        <v>4</v>
      </c>
      <c r="C306" s="112" t="s">
        <v>53</v>
      </c>
      <c r="D306" s="112" t="s">
        <v>54</v>
      </c>
      <c r="E306" s="112" t="s">
        <v>55</v>
      </c>
      <c r="F306" s="112" t="s">
        <v>56</v>
      </c>
      <c r="G306" s="112" t="s">
        <v>9</v>
      </c>
      <c r="H306" s="112" t="s">
        <v>10</v>
      </c>
      <c r="I306" s="112" t="s">
        <v>11</v>
      </c>
      <c r="J306" s="112" t="s">
        <v>12</v>
      </c>
      <c r="K306" s="113" t="s">
        <v>49</v>
      </c>
      <c r="L306" s="86"/>
    </row>
    <row r="307">
      <c r="A307" s="84" t="s">
        <v>59</v>
      </c>
      <c r="B307" s="89"/>
      <c r="C307" s="89"/>
      <c r="D307" s="89">
        <f>1</f>
        <v>1</v>
      </c>
      <c r="E307" s="89"/>
      <c r="F307" s="89"/>
      <c r="G307" s="89"/>
      <c r="H307" s="89"/>
      <c r="I307" s="89"/>
      <c r="J307" s="89"/>
      <c r="K307" s="89"/>
      <c r="L307" s="115"/>
    </row>
    <row r="308">
      <c r="A308" s="84" t="s">
        <v>60</v>
      </c>
      <c r="B308" s="89"/>
      <c r="C308" s="89">
        <f>1</f>
        <v>1</v>
      </c>
      <c r="D308" s="89"/>
      <c r="E308" s="89"/>
      <c r="F308" s="89"/>
      <c r="G308" s="89"/>
      <c r="H308" s="89"/>
      <c r="I308" s="89"/>
      <c r="J308" s="89"/>
      <c r="K308" s="89"/>
      <c r="L308" s="118">
        <f>SUM(K307:K308)</f>
        <v>0</v>
      </c>
    </row>
    <row r="310">
      <c r="A310" s="208" t="s">
        <v>210</v>
      </c>
      <c r="B310" s="50"/>
      <c r="C310" s="50"/>
      <c r="D310" s="50"/>
      <c r="E310" s="50"/>
      <c r="F310" s="50"/>
      <c r="G310" s="50"/>
      <c r="H310" s="50"/>
      <c r="I310" s="50"/>
      <c r="J310" s="50"/>
      <c r="K310" s="51"/>
      <c r="L310" s="133" t="s">
        <v>49</v>
      </c>
    </row>
    <row r="311">
      <c r="A311" s="107"/>
      <c r="B311" s="82" t="s">
        <v>2</v>
      </c>
      <c r="C311" s="50"/>
      <c r="D311" s="50"/>
      <c r="E311" s="50"/>
      <c r="F311" s="50"/>
      <c r="G311" s="50"/>
      <c r="H311" s="50"/>
      <c r="I311" s="50"/>
      <c r="J311" s="51"/>
      <c r="K311" s="107"/>
      <c r="L311" s="86"/>
    </row>
    <row r="312">
      <c r="A312" s="84" t="s">
        <v>52</v>
      </c>
      <c r="B312" s="89">
        <v>28.0</v>
      </c>
      <c r="C312" s="89">
        <v>30.0</v>
      </c>
      <c r="D312" s="89">
        <v>32.0</v>
      </c>
      <c r="E312" s="89">
        <v>34.0</v>
      </c>
      <c r="F312" s="89">
        <v>36.0</v>
      </c>
      <c r="G312" s="89">
        <v>38.0</v>
      </c>
      <c r="H312" s="89">
        <v>40.0</v>
      </c>
      <c r="I312" s="89"/>
      <c r="J312" s="89"/>
      <c r="K312" s="107"/>
      <c r="L312" s="86"/>
    </row>
    <row r="313">
      <c r="A313" s="84"/>
      <c r="B313" s="112" t="s">
        <v>4</v>
      </c>
      <c r="C313" s="112" t="s">
        <v>53</v>
      </c>
      <c r="D313" s="112" t="s">
        <v>54</v>
      </c>
      <c r="E313" s="112" t="s">
        <v>55</v>
      </c>
      <c r="F313" s="112" t="s">
        <v>56</v>
      </c>
      <c r="G313" s="112" t="s">
        <v>9</v>
      </c>
      <c r="H313" s="112" t="s">
        <v>10</v>
      </c>
      <c r="I313" s="112" t="s">
        <v>11</v>
      </c>
      <c r="J313" s="112" t="s">
        <v>12</v>
      </c>
      <c r="K313" s="134" t="s">
        <v>49</v>
      </c>
      <c r="L313" s="86"/>
    </row>
    <row r="314">
      <c r="A314" s="84" t="s">
        <v>59</v>
      </c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115"/>
    </row>
    <row r="315">
      <c r="A315" s="84" t="s">
        <v>60</v>
      </c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118">
        <f>SUM(K314:K315)</f>
        <v>0</v>
      </c>
    </row>
    <row r="316">
      <c r="A316" s="125"/>
      <c r="B316" s="125"/>
      <c r="C316" s="109"/>
      <c r="D316" s="125"/>
      <c r="E316" s="125"/>
      <c r="F316" s="125"/>
      <c r="G316" s="125"/>
      <c r="H316" s="125"/>
      <c r="I316" s="125"/>
      <c r="J316" s="125"/>
      <c r="K316" s="125"/>
      <c r="L316" s="125"/>
    </row>
    <row r="317">
      <c r="L317" s="133" t="s">
        <v>49</v>
      </c>
    </row>
    <row r="318">
      <c r="A318" s="76" t="s">
        <v>109</v>
      </c>
      <c r="B318" s="50"/>
      <c r="C318" s="50"/>
      <c r="D318" s="50"/>
      <c r="E318" s="50"/>
      <c r="F318" s="50"/>
      <c r="G318" s="50"/>
      <c r="H318" s="50"/>
      <c r="I318" s="50"/>
      <c r="J318" s="50"/>
      <c r="K318" s="77"/>
      <c r="L318" s="86"/>
    </row>
    <row r="319">
      <c r="A319" s="107"/>
      <c r="B319" s="82" t="s">
        <v>2</v>
      </c>
      <c r="C319" s="50"/>
      <c r="D319" s="50"/>
      <c r="E319" s="50"/>
      <c r="F319" s="50"/>
      <c r="G319" s="50"/>
      <c r="H319" s="50"/>
      <c r="I319" s="50"/>
      <c r="J319" s="51"/>
      <c r="K319" s="87"/>
      <c r="L319" s="86"/>
    </row>
    <row r="320">
      <c r="A320" s="84" t="s">
        <v>52</v>
      </c>
      <c r="B320" s="89">
        <v>28.0</v>
      </c>
      <c r="C320" s="89">
        <v>30.0</v>
      </c>
      <c r="D320" s="89">
        <v>32.0</v>
      </c>
      <c r="E320" s="89">
        <v>34.0</v>
      </c>
      <c r="F320" s="89">
        <v>36.0</v>
      </c>
      <c r="G320" s="89">
        <v>38.0</v>
      </c>
      <c r="H320" s="89">
        <v>40.0</v>
      </c>
      <c r="I320" s="89"/>
      <c r="J320" s="89"/>
      <c r="K320" s="87"/>
      <c r="L320" s="86"/>
    </row>
    <row r="321">
      <c r="A321" s="84"/>
      <c r="B321" s="112" t="s">
        <v>4</v>
      </c>
      <c r="C321" s="112" t="s">
        <v>53</v>
      </c>
      <c r="D321" s="112" t="s">
        <v>54</v>
      </c>
      <c r="E321" s="112" t="s">
        <v>55</v>
      </c>
      <c r="F321" s="112" t="s">
        <v>56</v>
      </c>
      <c r="G321" s="112" t="s">
        <v>9</v>
      </c>
      <c r="H321" s="112" t="s">
        <v>10</v>
      </c>
      <c r="I321" s="112" t="s">
        <v>11</v>
      </c>
      <c r="J321" s="112" t="s">
        <v>12</v>
      </c>
      <c r="K321" s="113" t="s">
        <v>49</v>
      </c>
      <c r="L321" s="115"/>
    </row>
    <row r="322">
      <c r="A322" s="84" t="s">
        <v>59</v>
      </c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118">
        <f>SUM(K322)</f>
        <v>0</v>
      </c>
    </row>
    <row r="326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  <c r="K326" s="153"/>
      <c r="L326" s="153"/>
    </row>
    <row r="327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  <c r="K327" s="153"/>
      <c r="L327" s="153"/>
    </row>
    <row r="328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</row>
    <row r="329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  <c r="K329" s="153"/>
      <c r="L329" s="153"/>
    </row>
    <row r="332">
      <c r="A332" s="159" t="s">
        <v>111</v>
      </c>
      <c r="B332" s="50"/>
      <c r="C332" s="50"/>
      <c r="D332" s="50"/>
      <c r="E332" s="50"/>
      <c r="F332" s="50"/>
      <c r="G332" s="50"/>
      <c r="H332" s="50"/>
      <c r="I332" s="50"/>
      <c r="J332" s="50"/>
      <c r="K332" s="51"/>
    </row>
    <row r="333">
      <c r="A333" s="81"/>
      <c r="B333" s="164" t="s">
        <v>211</v>
      </c>
      <c r="C333" s="50"/>
      <c r="D333" s="50"/>
      <c r="E333" s="50"/>
      <c r="F333" s="50"/>
      <c r="G333" s="50"/>
      <c r="H333" s="50"/>
      <c r="I333" s="50"/>
      <c r="J333" s="51"/>
      <c r="K333" s="83"/>
    </row>
    <row r="334">
      <c r="A334" s="81" t="s">
        <v>52</v>
      </c>
      <c r="B334" s="89">
        <v>28.0</v>
      </c>
      <c r="C334" s="89">
        <v>30.0</v>
      </c>
      <c r="D334" s="89">
        <v>32.0</v>
      </c>
      <c r="E334" s="89">
        <v>34.0</v>
      </c>
      <c r="F334" s="89">
        <v>36.0</v>
      </c>
      <c r="G334" s="89">
        <v>38.0</v>
      </c>
      <c r="H334" s="89">
        <v>40.0</v>
      </c>
      <c r="I334" s="105" t="s">
        <v>114</v>
      </c>
      <c r="J334" s="90"/>
      <c r="K334" s="83"/>
    </row>
    <row r="335">
      <c r="A335" s="81"/>
      <c r="B335" s="112" t="s">
        <v>4</v>
      </c>
      <c r="C335" s="112" t="s">
        <v>53</v>
      </c>
      <c r="D335" s="112" t="s">
        <v>54</v>
      </c>
      <c r="E335" s="112" t="s">
        <v>55</v>
      </c>
      <c r="F335" s="112" t="s">
        <v>56</v>
      </c>
      <c r="G335" s="112" t="s">
        <v>9</v>
      </c>
      <c r="H335" s="112" t="s">
        <v>10</v>
      </c>
      <c r="I335" s="112" t="s">
        <v>11</v>
      </c>
      <c r="J335" s="85" t="s">
        <v>12</v>
      </c>
      <c r="K335" s="134" t="s">
        <v>49</v>
      </c>
    </row>
    <row r="336">
      <c r="A336" s="81" t="s">
        <v>27</v>
      </c>
      <c r="B336" s="89"/>
      <c r="C336" s="89"/>
      <c r="D336" s="89"/>
      <c r="E336" s="89"/>
      <c r="F336" s="89"/>
      <c r="G336" s="89"/>
      <c r="H336" s="89"/>
      <c r="I336" s="212">
        <v>1.0</v>
      </c>
      <c r="J336" s="90"/>
      <c r="K336" s="161">
        <f t="shared" ref="K336:K341" si="33">SUM(B336:J336)</f>
        <v>1</v>
      </c>
    </row>
    <row r="337">
      <c r="A337" s="81" t="s">
        <v>22</v>
      </c>
      <c r="B337" s="89"/>
      <c r="C337" s="89"/>
      <c r="D337" s="89"/>
      <c r="E337" s="89"/>
      <c r="F337" s="89"/>
      <c r="G337" s="89"/>
      <c r="H337" s="89"/>
      <c r="I337" s="213"/>
      <c r="J337" s="90"/>
      <c r="K337" s="161">
        <f t="shared" si="33"/>
        <v>0</v>
      </c>
    </row>
    <row r="338">
      <c r="A338" s="81" t="s">
        <v>116</v>
      </c>
      <c r="B338" s="89"/>
      <c r="C338" s="89"/>
      <c r="D338" s="89"/>
      <c r="E338" s="89"/>
      <c r="F338" s="89"/>
      <c r="G338" s="89"/>
      <c r="H338" s="89"/>
      <c r="I338" s="213"/>
      <c r="J338" s="90"/>
      <c r="K338" s="161">
        <f t="shared" si="33"/>
        <v>0</v>
      </c>
    </row>
    <row r="339">
      <c r="A339" s="81" t="s">
        <v>14</v>
      </c>
      <c r="B339" s="89"/>
      <c r="C339" s="89"/>
      <c r="D339" s="89"/>
      <c r="E339" s="89"/>
      <c r="F339" s="89"/>
      <c r="G339" s="89"/>
      <c r="H339" s="89"/>
      <c r="I339" s="213"/>
      <c r="J339" s="90"/>
      <c r="K339" s="161">
        <f t="shared" si="33"/>
        <v>0</v>
      </c>
    </row>
    <row r="340">
      <c r="A340" s="106" t="s">
        <v>119</v>
      </c>
      <c r="B340" s="89"/>
      <c r="C340" s="89"/>
      <c r="D340" s="89"/>
      <c r="E340" s="89"/>
      <c r="F340" s="89"/>
      <c r="G340" s="89"/>
      <c r="H340" s="89"/>
      <c r="I340" s="213"/>
      <c r="J340" s="90"/>
      <c r="K340" s="161">
        <f t="shared" si="33"/>
        <v>0</v>
      </c>
    </row>
    <row r="341">
      <c r="A341" s="106" t="s">
        <v>16</v>
      </c>
      <c r="B341" s="89"/>
      <c r="C341" s="89"/>
      <c r="D341" s="89"/>
      <c r="E341" s="89"/>
      <c r="F341" s="89"/>
      <c r="G341" s="89"/>
      <c r="H341" s="89"/>
      <c r="I341" s="213"/>
      <c r="J341" s="90"/>
      <c r="K341" s="161">
        <f t="shared" si="33"/>
        <v>0</v>
      </c>
    </row>
    <row r="342">
      <c r="A342" s="106" t="s">
        <v>75</v>
      </c>
      <c r="B342" s="89"/>
      <c r="C342" s="89"/>
      <c r="D342" s="89"/>
      <c r="E342" s="89"/>
      <c r="F342" s="89"/>
      <c r="G342" s="89"/>
      <c r="H342" s="89"/>
      <c r="I342" s="213"/>
      <c r="J342" s="89"/>
      <c r="K342" s="161"/>
    </row>
    <row r="343">
      <c r="A343" s="106" t="s">
        <v>120</v>
      </c>
      <c r="B343" s="89"/>
      <c r="C343" s="89"/>
      <c r="D343" s="89"/>
      <c r="E343" s="89"/>
      <c r="F343" s="89"/>
      <c r="G343" s="89"/>
      <c r="H343" s="89"/>
      <c r="I343" s="213"/>
      <c r="J343" s="90"/>
      <c r="K343" s="161">
        <f t="shared" ref="K343:K346" si="34">SUM(B343:J343)</f>
        <v>0</v>
      </c>
    </row>
    <row r="344">
      <c r="A344" s="106" t="s">
        <v>121</v>
      </c>
      <c r="B344" s="89"/>
      <c r="C344" s="89"/>
      <c r="D344" s="89"/>
      <c r="E344" s="89"/>
      <c r="F344" s="89"/>
      <c r="G344" s="89"/>
      <c r="H344" s="89"/>
      <c r="I344" s="213"/>
      <c r="J344" s="90"/>
      <c r="K344" s="161">
        <f t="shared" si="34"/>
        <v>0</v>
      </c>
    </row>
    <row r="345">
      <c r="A345" s="106" t="s">
        <v>122</v>
      </c>
      <c r="B345" s="89"/>
      <c r="C345" s="89"/>
      <c r="D345" s="89"/>
      <c r="E345" s="89"/>
      <c r="F345" s="89"/>
      <c r="G345" s="89"/>
      <c r="H345" s="89"/>
      <c r="I345" s="213"/>
      <c r="J345" s="90"/>
      <c r="K345" s="161">
        <f t="shared" si="34"/>
        <v>0</v>
      </c>
    </row>
    <row r="346">
      <c r="A346" s="84" t="s">
        <v>17</v>
      </c>
      <c r="B346" s="89"/>
      <c r="C346" s="89"/>
      <c r="D346" s="89"/>
      <c r="E346" s="89"/>
      <c r="F346" s="89"/>
      <c r="G346" s="89"/>
      <c r="H346" s="89"/>
      <c r="I346" s="213"/>
      <c r="J346" s="90"/>
      <c r="K346" s="161">
        <f t="shared" si="34"/>
        <v>0</v>
      </c>
    </row>
    <row r="347">
      <c r="A347" s="108"/>
      <c r="B347" s="109"/>
      <c r="C347" s="109"/>
      <c r="D347" s="109"/>
      <c r="E347" s="109"/>
      <c r="F347" s="109"/>
      <c r="G347" s="109"/>
      <c r="H347" s="109"/>
      <c r="I347" s="147"/>
      <c r="J347" s="109"/>
      <c r="K347" s="118">
        <f>SUM(K336:K346)</f>
        <v>1</v>
      </c>
    </row>
    <row r="349">
      <c r="A349" s="159" t="s">
        <v>111</v>
      </c>
      <c r="B349" s="50"/>
      <c r="C349" s="50"/>
      <c r="D349" s="50"/>
      <c r="E349" s="50"/>
      <c r="F349" s="50"/>
      <c r="G349" s="50"/>
      <c r="H349" s="50"/>
      <c r="I349" s="50"/>
      <c r="J349" s="50"/>
      <c r="K349" s="51"/>
    </row>
    <row r="350">
      <c r="A350" s="81"/>
      <c r="B350" s="82" t="s">
        <v>124</v>
      </c>
      <c r="C350" s="50"/>
      <c r="D350" s="50"/>
      <c r="E350" s="50"/>
      <c r="F350" s="50"/>
      <c r="G350" s="50"/>
      <c r="H350" s="50"/>
      <c r="I350" s="50"/>
      <c r="J350" s="51"/>
      <c r="K350" s="83"/>
    </row>
    <row r="351">
      <c r="A351" s="81" t="s">
        <v>52</v>
      </c>
      <c r="B351" s="89">
        <v>28.0</v>
      </c>
      <c r="C351" s="89">
        <v>30.0</v>
      </c>
      <c r="D351" s="89">
        <v>32.0</v>
      </c>
      <c r="E351" s="89">
        <v>34.0</v>
      </c>
      <c r="F351" s="89">
        <v>36.0</v>
      </c>
      <c r="G351" s="89">
        <v>38.0</v>
      </c>
      <c r="H351" s="89">
        <v>40.0</v>
      </c>
      <c r="I351" s="89"/>
      <c r="J351" s="90"/>
      <c r="K351" s="83"/>
    </row>
    <row r="352">
      <c r="A352" s="81"/>
      <c r="B352" s="112" t="s">
        <v>4</v>
      </c>
      <c r="C352" s="112" t="s">
        <v>53</v>
      </c>
      <c r="D352" s="112" t="s">
        <v>54</v>
      </c>
      <c r="E352" s="112" t="s">
        <v>55</v>
      </c>
      <c r="F352" s="112" t="s">
        <v>56</v>
      </c>
      <c r="G352" s="112" t="s">
        <v>9</v>
      </c>
      <c r="H352" s="112" t="s">
        <v>10</v>
      </c>
      <c r="I352" s="112" t="s">
        <v>11</v>
      </c>
      <c r="J352" s="85" t="s">
        <v>12</v>
      </c>
      <c r="K352" s="134" t="s">
        <v>49</v>
      </c>
    </row>
    <row r="353">
      <c r="A353" s="106" t="s">
        <v>22</v>
      </c>
      <c r="B353" s="89"/>
      <c r="C353" s="89"/>
      <c r="D353" s="89"/>
      <c r="E353" s="89"/>
      <c r="F353" s="89"/>
      <c r="G353" s="89">
        <f>1</f>
        <v>1</v>
      </c>
      <c r="H353" s="89"/>
      <c r="I353" s="89"/>
      <c r="J353" s="89"/>
      <c r="K353" s="161"/>
    </row>
    <row r="354">
      <c r="A354" s="106" t="s">
        <v>14</v>
      </c>
      <c r="B354" s="89"/>
      <c r="C354" s="89"/>
      <c r="D354" s="89"/>
      <c r="E354" s="89"/>
      <c r="F354" s="89"/>
      <c r="G354" s="100"/>
      <c r="H354" s="89"/>
      <c r="I354" s="89"/>
      <c r="J354" s="89"/>
      <c r="K354" s="161"/>
    </row>
    <row r="355">
      <c r="A355" s="84" t="s">
        <v>27</v>
      </c>
      <c r="B355" s="89"/>
      <c r="C355" s="89"/>
      <c r="D355" s="89"/>
      <c r="E355" s="89"/>
      <c r="F355" s="89"/>
      <c r="G355" s="89"/>
      <c r="H355" s="100"/>
      <c r="I355" s="89"/>
      <c r="J355" s="89"/>
      <c r="K355" s="161"/>
    </row>
    <row r="356">
      <c r="A356" s="108"/>
      <c r="B356" s="109"/>
      <c r="C356" s="109"/>
      <c r="D356" s="109"/>
      <c r="E356" s="109"/>
      <c r="F356" s="109"/>
      <c r="G356" s="109"/>
      <c r="H356" s="109"/>
      <c r="I356" s="109"/>
      <c r="J356" s="109"/>
      <c r="K356" s="118">
        <f>SUM(K353:K355)</f>
        <v>0</v>
      </c>
    </row>
    <row r="360">
      <c r="A360" s="159" t="s">
        <v>111</v>
      </c>
      <c r="B360" s="50"/>
      <c r="C360" s="50"/>
      <c r="D360" s="50"/>
      <c r="E360" s="50"/>
      <c r="F360" s="50"/>
      <c r="G360" s="50"/>
      <c r="H360" s="50"/>
      <c r="I360" s="50"/>
      <c r="J360" s="50"/>
      <c r="K360" s="51"/>
    </row>
    <row r="361">
      <c r="A361" s="81"/>
      <c r="B361" s="82" t="s">
        <v>128</v>
      </c>
      <c r="C361" s="50"/>
      <c r="D361" s="50"/>
      <c r="E361" s="50"/>
      <c r="F361" s="50"/>
      <c r="G361" s="50"/>
      <c r="H361" s="50"/>
      <c r="I361" s="50"/>
      <c r="J361" s="51"/>
      <c r="K361" s="83"/>
    </row>
    <row r="362">
      <c r="A362" s="81" t="s">
        <v>52</v>
      </c>
      <c r="B362" s="89">
        <v>28.0</v>
      </c>
      <c r="C362" s="89">
        <v>30.0</v>
      </c>
      <c r="D362" s="89">
        <v>32.0</v>
      </c>
      <c r="E362" s="89">
        <v>34.0</v>
      </c>
      <c r="F362" s="89">
        <v>36.0</v>
      </c>
      <c r="G362" s="89">
        <v>38.0</v>
      </c>
      <c r="H362" s="89">
        <v>40.0</v>
      </c>
      <c r="I362" s="105" t="s">
        <v>114</v>
      </c>
      <c r="J362" s="90"/>
      <c r="K362" s="83"/>
    </row>
    <row r="363">
      <c r="A363" s="81"/>
      <c r="B363" s="112" t="s">
        <v>4</v>
      </c>
      <c r="C363" s="112" t="s">
        <v>53</v>
      </c>
      <c r="D363" s="112" t="s">
        <v>54</v>
      </c>
      <c r="E363" s="112" t="s">
        <v>55</v>
      </c>
      <c r="F363" s="112" t="s">
        <v>56</v>
      </c>
      <c r="G363" s="112" t="s">
        <v>9</v>
      </c>
      <c r="H363" s="112" t="s">
        <v>10</v>
      </c>
      <c r="I363" s="112" t="s">
        <v>11</v>
      </c>
      <c r="J363" s="85" t="s">
        <v>12</v>
      </c>
      <c r="K363" s="134" t="s">
        <v>49</v>
      </c>
    </row>
    <row r="364">
      <c r="A364" s="106" t="s">
        <v>22</v>
      </c>
      <c r="B364" s="89"/>
      <c r="C364" s="89"/>
      <c r="D364" s="89"/>
      <c r="E364" s="89"/>
      <c r="F364" s="89"/>
      <c r="G364" s="89"/>
      <c r="H364" s="89"/>
      <c r="I364" s="89"/>
      <c r="J364" s="89"/>
      <c r="K364" s="161">
        <f>1</f>
        <v>1</v>
      </c>
    </row>
    <row r="365" ht="18.0" customHeight="1">
      <c r="A365" s="84" t="s">
        <v>27</v>
      </c>
      <c r="B365" s="89"/>
      <c r="C365" s="89"/>
      <c r="D365" s="89"/>
      <c r="E365" s="89"/>
      <c r="F365" s="89"/>
      <c r="G365" s="89"/>
      <c r="H365" s="89"/>
      <c r="I365" s="89"/>
      <c r="J365" s="89"/>
      <c r="K365" s="161"/>
    </row>
    <row r="366">
      <c r="A366" s="108"/>
      <c r="B366" s="109"/>
      <c r="C366" s="109"/>
      <c r="D366" s="109"/>
      <c r="E366" s="109"/>
      <c r="F366" s="109"/>
      <c r="G366" s="109"/>
      <c r="H366" s="109"/>
      <c r="I366" s="109"/>
      <c r="J366" s="109"/>
      <c r="K366" s="118">
        <f>SUM(K364:K365)</f>
        <v>1</v>
      </c>
    </row>
    <row r="370">
      <c r="A370" s="159" t="s">
        <v>111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1"/>
    </row>
    <row r="371">
      <c r="A371" s="81"/>
      <c r="B371" s="82" t="s">
        <v>127</v>
      </c>
      <c r="C371" s="50"/>
      <c r="D371" s="50"/>
      <c r="E371" s="50"/>
      <c r="F371" s="50"/>
      <c r="G371" s="50"/>
      <c r="H371" s="50"/>
      <c r="I371" s="50"/>
      <c r="J371" s="51"/>
      <c r="K371" s="114"/>
    </row>
    <row r="372">
      <c r="A372" s="81" t="s">
        <v>52</v>
      </c>
      <c r="B372" s="89">
        <v>28.0</v>
      </c>
      <c r="C372" s="89">
        <v>30.0</v>
      </c>
      <c r="D372" s="89">
        <v>32.0</v>
      </c>
      <c r="E372" s="89">
        <v>34.0</v>
      </c>
      <c r="F372" s="89">
        <v>36.0</v>
      </c>
      <c r="G372" s="89">
        <v>38.0</v>
      </c>
      <c r="H372" s="89">
        <v>40.0</v>
      </c>
      <c r="I372" s="89"/>
      <c r="J372" s="90"/>
      <c r="K372" s="114"/>
    </row>
    <row r="373">
      <c r="A373" s="81"/>
      <c r="B373" s="112" t="s">
        <v>4</v>
      </c>
      <c r="C373" s="112" t="s">
        <v>53</v>
      </c>
      <c r="D373" s="112" t="s">
        <v>54</v>
      </c>
      <c r="E373" s="112" t="s">
        <v>55</v>
      </c>
      <c r="F373" s="112" t="s">
        <v>56</v>
      </c>
      <c r="G373" s="112" t="s">
        <v>9</v>
      </c>
      <c r="H373" s="112" t="s">
        <v>10</v>
      </c>
      <c r="I373" s="112" t="s">
        <v>11</v>
      </c>
      <c r="J373" s="85" t="s">
        <v>12</v>
      </c>
      <c r="K373" s="119" t="s">
        <v>49</v>
      </c>
    </row>
    <row r="374">
      <c r="A374" s="106" t="s">
        <v>129</v>
      </c>
      <c r="B374" s="89">
        <f>1</f>
        <v>1</v>
      </c>
      <c r="C374" s="89"/>
      <c r="D374" s="89"/>
      <c r="E374" s="89"/>
      <c r="F374" s="89"/>
      <c r="G374" s="89"/>
      <c r="H374" s="89"/>
      <c r="I374" s="89"/>
      <c r="J374" s="89"/>
      <c r="K374" s="114">
        <f>SUM(B374:J374)</f>
        <v>1</v>
      </c>
    </row>
    <row r="375">
      <c r="A375" s="108"/>
      <c r="B375" s="109"/>
      <c r="C375" s="109"/>
      <c r="D375" s="109"/>
      <c r="E375" s="109"/>
      <c r="F375" s="109"/>
      <c r="G375" s="109"/>
      <c r="H375" s="109"/>
      <c r="I375" s="109"/>
      <c r="J375" s="109" t="s">
        <v>130</v>
      </c>
      <c r="K375" s="105">
        <f>SUM(K374)</f>
        <v>1</v>
      </c>
    </row>
  </sheetData>
  <mergeCells count="121">
    <mergeCell ref="A1:K1"/>
    <mergeCell ref="B2:J2"/>
    <mergeCell ref="A8:K8"/>
    <mergeCell ref="S8:AJ8"/>
    <mergeCell ref="B9:J9"/>
    <mergeCell ref="S9:AA9"/>
    <mergeCell ref="AB9:AJ9"/>
    <mergeCell ref="A26:K26"/>
    <mergeCell ref="B27:J27"/>
    <mergeCell ref="S38:AJ38"/>
    <mergeCell ref="S39:AA39"/>
    <mergeCell ref="AB39:AJ39"/>
    <mergeCell ref="A45:J45"/>
    <mergeCell ref="A46:K46"/>
    <mergeCell ref="B47:J47"/>
    <mergeCell ref="S50:AJ50"/>
    <mergeCell ref="S51:AA51"/>
    <mergeCell ref="A56:K56"/>
    <mergeCell ref="B57:J57"/>
    <mergeCell ref="AB59:AC59"/>
    <mergeCell ref="R65:AB65"/>
    <mergeCell ref="S66:AA66"/>
    <mergeCell ref="A67:K67"/>
    <mergeCell ref="B68:J68"/>
    <mergeCell ref="R73:AB73"/>
    <mergeCell ref="A74:K74"/>
    <mergeCell ref="S74:AA74"/>
    <mergeCell ref="B75:J75"/>
    <mergeCell ref="R81:AB81"/>
    <mergeCell ref="A82:K82"/>
    <mergeCell ref="S82:AA82"/>
    <mergeCell ref="B83:J83"/>
    <mergeCell ref="R89:AB89"/>
    <mergeCell ref="A92:K92"/>
    <mergeCell ref="B93:J93"/>
    <mergeCell ref="L141:L152"/>
    <mergeCell ref="L155:L168"/>
    <mergeCell ref="B156:J156"/>
    <mergeCell ref="A163:K163"/>
    <mergeCell ref="B164:J164"/>
    <mergeCell ref="A171:K171"/>
    <mergeCell ref="R143:AB143"/>
    <mergeCell ref="R156:AB156"/>
    <mergeCell ref="S157:AA157"/>
    <mergeCell ref="S90:AA90"/>
    <mergeCell ref="R98:AB98"/>
    <mergeCell ref="S99:AA99"/>
    <mergeCell ref="R107:AB107"/>
    <mergeCell ref="R116:AB116"/>
    <mergeCell ref="R123:AB123"/>
    <mergeCell ref="R133:AB133"/>
    <mergeCell ref="B280:J280"/>
    <mergeCell ref="A286:K286"/>
    <mergeCell ref="A248:K248"/>
    <mergeCell ref="B249:J249"/>
    <mergeCell ref="A260:K260"/>
    <mergeCell ref="B261:J261"/>
    <mergeCell ref="A272:K272"/>
    <mergeCell ref="B273:J273"/>
    <mergeCell ref="A279:K279"/>
    <mergeCell ref="L286:L290"/>
    <mergeCell ref="L293:L300"/>
    <mergeCell ref="L303:L307"/>
    <mergeCell ref="L310:L314"/>
    <mergeCell ref="L317:L321"/>
    <mergeCell ref="L171:L192"/>
    <mergeCell ref="L195:L206"/>
    <mergeCell ref="L210:L214"/>
    <mergeCell ref="L218:L229"/>
    <mergeCell ref="L232:L245"/>
    <mergeCell ref="L248:L269"/>
    <mergeCell ref="L272:L283"/>
    <mergeCell ref="B361:J361"/>
    <mergeCell ref="A370:K370"/>
    <mergeCell ref="B371:J371"/>
    <mergeCell ref="A318:K318"/>
    <mergeCell ref="B319:J319"/>
    <mergeCell ref="A332:K332"/>
    <mergeCell ref="B333:J333"/>
    <mergeCell ref="A349:K349"/>
    <mergeCell ref="B350:J350"/>
    <mergeCell ref="A360:K360"/>
    <mergeCell ref="A103:K103"/>
    <mergeCell ref="B104:J104"/>
    <mergeCell ref="A111:K111"/>
    <mergeCell ref="B112:J112"/>
    <mergeCell ref="A120:K120"/>
    <mergeCell ref="B121:J121"/>
    <mergeCell ref="A129:K129"/>
    <mergeCell ref="A155:K155"/>
    <mergeCell ref="B172:J172"/>
    <mergeCell ref="A183:K183"/>
    <mergeCell ref="B184:J184"/>
    <mergeCell ref="B130:J130"/>
    <mergeCell ref="A140:L140"/>
    <mergeCell ref="A141:K141"/>
    <mergeCell ref="B142:J142"/>
    <mergeCell ref="A148:K148"/>
    <mergeCell ref="B149:J149"/>
    <mergeCell ref="A195:K195"/>
    <mergeCell ref="B196:J196"/>
    <mergeCell ref="A202:K202"/>
    <mergeCell ref="B203:J203"/>
    <mergeCell ref="A210:K210"/>
    <mergeCell ref="B211:J211"/>
    <mergeCell ref="A217:L217"/>
    <mergeCell ref="A218:K218"/>
    <mergeCell ref="B219:J219"/>
    <mergeCell ref="A225:K225"/>
    <mergeCell ref="B226:J226"/>
    <mergeCell ref="A232:K232"/>
    <mergeCell ref="B233:J233"/>
    <mergeCell ref="A240:K240"/>
    <mergeCell ref="B241:J241"/>
    <mergeCell ref="B287:J287"/>
    <mergeCell ref="A293:K293"/>
    <mergeCell ref="B294:J294"/>
    <mergeCell ref="A303:K303"/>
    <mergeCell ref="B304:J304"/>
    <mergeCell ref="A310:K310"/>
    <mergeCell ref="B311:J311"/>
  </mergeCells>
  <conditionalFormatting sqref="B5:K5 B12:K24 B30:K42 S53:AB58 B60:K64 B145:K146 S160:AB166 B322:K322 B374:K374">
    <cfRule type="cellIs" dxfId="0" priority="1" operator="lessThan">
      <formula>3</formula>
    </cfRule>
  </conditionalFormatting>
  <conditionalFormatting sqref="B22:J24 B353:K355">
    <cfRule type="cellIs" dxfId="1" priority="2" operator="lessThanOrEqual">
      <formula>3</formula>
    </cfRule>
  </conditionalFormatting>
  <drawing r:id="rId1"/>
</worksheet>
</file>